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D3D0D1F-53DC-469D-B2D2-31E9EEB8D192}" xr6:coauthVersionLast="36" xr6:coauthVersionMax="36" xr10:uidLastSave="{00000000-0000-0000-0000-000000000000}"/>
  <bookViews>
    <workbookView xWindow="0" yWindow="0" windowWidth="28800" windowHeight="18000" activeTab="1" xr2:uid="{800D9DCC-5EA6-4079-B85C-568F4BE9D6B4}"/>
  </bookViews>
  <sheets>
    <sheet name="calcolo rata mutuo" sheetId="2" r:id="rId1"/>
    <sheet name="calcoli_max_30y" sheetId="3" r:id="rId2"/>
  </sheets>
  <definedNames>
    <definedName name="_xlnm._FilterDatabase" localSheetId="0" hidden="1">#REF!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'calcolo rata mutuo'!#REF!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L6" i="3"/>
  <c r="F5" i="3"/>
  <c r="K5" i="3"/>
  <c r="G28" i="2"/>
  <c r="B37" i="3"/>
  <c r="L5" i="3"/>
  <c r="K6" i="3"/>
  <c r="K7" i="3" s="1"/>
  <c r="K8" i="3" s="1"/>
  <c r="K9" i="3" s="1"/>
  <c r="K10" i="3" s="1"/>
  <c r="K11" i="3" s="1"/>
  <c r="K12" i="3" s="1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A6" i="3"/>
  <c r="B49" i="2"/>
  <c r="B48" i="2"/>
  <c r="B32" i="2"/>
  <c r="B39" i="2"/>
  <c r="A7" i="3" l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B38" i="3"/>
  <c r="C38" i="3"/>
  <c r="H38" i="3"/>
  <c r="E38" i="3"/>
  <c r="D38" i="3"/>
  <c r="G38" i="3"/>
  <c r="G16" i="2"/>
  <c r="B16" i="2"/>
  <c r="B14" i="2"/>
  <c r="B43" i="2" s="1"/>
  <c r="G49" i="2"/>
  <c r="F46" i="2"/>
  <c r="A46" i="2"/>
  <c r="H5" i="3"/>
  <c r="G5" i="3"/>
  <c r="E5" i="3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D5" i="3"/>
  <c r="C5" i="3"/>
  <c r="B5" i="3"/>
  <c r="G21" i="2"/>
  <c r="G32" i="2" s="1"/>
  <c r="G17" i="2"/>
  <c r="B17" i="2"/>
  <c r="E25" i="3" l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B6" i="3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37" i="3"/>
  <c r="F6" i="3"/>
  <c r="B22" i="2"/>
  <c r="B23" i="2" s="1"/>
  <c r="B42" i="2"/>
  <c r="B29" i="2"/>
  <c r="B19" i="2"/>
  <c r="G19" i="2" s="1"/>
  <c r="G48" i="2" s="1"/>
  <c r="B40" i="2"/>
  <c r="B50" i="2" s="1"/>
  <c r="F56" i="2"/>
  <c r="G56" i="2" s="1"/>
  <c r="F57" i="2"/>
  <c r="G57" i="2" s="1"/>
  <c r="B38" i="2"/>
  <c r="B41" i="2"/>
  <c r="B44" i="2"/>
  <c r="H41" i="2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H6" i="3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G6" i="3"/>
  <c r="B25" i="2"/>
  <c r="G18" i="2"/>
  <c r="B18" i="2"/>
  <c r="F7" i="3" l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/>
  <c r="D25" i="3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H40" i="2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L7" i="3"/>
  <c r="L8" i="3" s="1"/>
  <c r="L9" i="3" s="1"/>
  <c r="L10" i="3" s="1"/>
  <c r="L11" i="3" s="1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C21" i="3"/>
  <c r="C22" i="3" s="1"/>
  <c r="C23" i="3" s="1"/>
  <c r="C24" i="3" s="1"/>
  <c r="B21" i="3"/>
  <c r="B22" i="3" s="1"/>
  <c r="B23" i="3" s="1"/>
  <c r="B24" i="3" s="1"/>
  <c r="H21" i="3"/>
  <c r="H22" i="3" s="1"/>
  <c r="H23" i="3" s="1"/>
  <c r="H24" i="3" s="1"/>
  <c r="F26" i="3" l="1"/>
  <c r="F27" i="3" s="1"/>
  <c r="F28" i="3" s="1"/>
  <c r="F29" i="3" s="1"/>
  <c r="F30" i="3" s="1"/>
  <c r="F31" i="3" s="1"/>
  <c r="F32" i="3" s="1"/>
  <c r="F33" i="3" s="1"/>
  <c r="F34" i="3" s="1"/>
  <c r="F35" i="3" s="1"/>
  <c r="F38" i="3"/>
  <c r="H42" i="2" s="1"/>
  <c r="G47" i="2" s="1"/>
  <c r="G50" i="2" s="1"/>
  <c r="C25" i="3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H39" i="2"/>
  <c r="G25" i="3"/>
  <c r="H25" i="3"/>
  <c r="H44" i="2"/>
  <c r="H43" i="2"/>
  <c r="G26" i="3"/>
  <c r="G27" i="3" s="1"/>
  <c r="G28" i="3" s="1"/>
  <c r="G29" i="3" s="1"/>
  <c r="G30" i="3" s="1"/>
  <c r="G31" i="3" s="1"/>
  <c r="G32" i="3" s="1"/>
  <c r="G33" i="3" s="1"/>
  <c r="G34" i="3" s="1"/>
  <c r="G35" i="3" s="1"/>
  <c r="L25" i="3"/>
  <c r="B25" i="3"/>
  <c r="H26" i="3"/>
  <c r="H27" i="3" s="1"/>
  <c r="H28" i="3" s="1"/>
  <c r="H29" i="3" s="1"/>
  <c r="H30" i="3" s="1"/>
  <c r="H31" i="3" s="1"/>
  <c r="H32" i="3" s="1"/>
  <c r="H33" i="3" s="1"/>
  <c r="H34" i="3" s="1"/>
  <c r="H35" i="3" s="1"/>
  <c r="I44" i="2"/>
  <c r="I39" i="2"/>
  <c r="I40" i="2"/>
  <c r="I38" i="2"/>
  <c r="I41" i="2"/>
  <c r="I42" i="2"/>
  <c r="I43" i="2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N5" i="3"/>
  <c r="N6" i="3" s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R5" i="3"/>
  <c r="R6" i="3" s="1"/>
  <c r="R7" i="3" s="1"/>
  <c r="R8" i="3" s="1"/>
  <c r="R9" i="3" s="1"/>
  <c r="R10" i="3" s="1"/>
  <c r="R11" i="3" s="1"/>
  <c r="R12" i="3" s="1"/>
  <c r="R13" i="3" s="1"/>
  <c r="R14" i="3" s="1"/>
  <c r="R15" i="3" s="1"/>
  <c r="R16" i="3" s="1"/>
  <c r="R17" i="3" s="1"/>
  <c r="R18" i="3" s="1"/>
  <c r="R19" i="3" s="1"/>
  <c r="R20" i="3" s="1"/>
  <c r="R21" i="3" s="1"/>
  <c r="R22" i="3" s="1"/>
  <c r="R23" i="3" s="1"/>
  <c r="R24" i="3" s="1"/>
  <c r="O5" i="3"/>
  <c r="O6" i="3" s="1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P5" i="3"/>
  <c r="P6" i="3" s="1"/>
  <c r="P7" i="3" s="1"/>
  <c r="P8" i="3" s="1"/>
  <c r="P9" i="3" s="1"/>
  <c r="P10" i="3" s="1"/>
  <c r="P11" i="3" s="1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Q5" i="3"/>
  <c r="Q6" i="3" s="1"/>
  <c r="Q7" i="3" s="1"/>
  <c r="Q8" i="3" s="1"/>
  <c r="Q9" i="3" s="1"/>
  <c r="Q10" i="3" s="1"/>
  <c r="Q11" i="3" s="1"/>
  <c r="Q12" i="3" s="1"/>
  <c r="Q13" i="3" s="1"/>
  <c r="Q14" i="3" s="1"/>
  <c r="Q15" i="3" s="1"/>
  <c r="Q16" i="3" s="1"/>
  <c r="Q17" i="3" s="1"/>
  <c r="Q18" i="3" s="1"/>
  <c r="Q19" i="3" s="1"/>
  <c r="Q20" i="3" s="1"/>
  <c r="Q21" i="3" s="1"/>
  <c r="Q22" i="3" s="1"/>
  <c r="Q23" i="3" s="1"/>
  <c r="Q24" i="3" s="1"/>
  <c r="L26" i="3" l="1"/>
  <c r="L27" i="3" s="1"/>
  <c r="L28" i="3" s="1"/>
  <c r="L29" i="3" s="1"/>
  <c r="L30" i="3" s="1"/>
  <c r="L31" i="3" s="1"/>
  <c r="L32" i="3" s="1"/>
  <c r="L33" i="3" s="1"/>
  <c r="L34" i="3" s="1"/>
  <c r="L35" i="3" s="1"/>
  <c r="L38" i="3"/>
  <c r="K38" i="2" s="1"/>
  <c r="M25" i="3"/>
  <c r="M38" i="3" s="1"/>
  <c r="K39" i="2" s="1"/>
  <c r="O25" i="3"/>
  <c r="O38" i="3" s="1"/>
  <c r="K41" i="2" s="1"/>
  <c r="Q25" i="3"/>
  <c r="P25" i="3"/>
  <c r="R25" i="3"/>
  <c r="N25" i="3"/>
  <c r="H38" i="2"/>
  <c r="B26" i="3"/>
  <c r="B27" i="3" s="1"/>
  <c r="B28" i="3" s="1"/>
  <c r="B29" i="3" s="1"/>
  <c r="B30" i="3" s="1"/>
  <c r="B31" i="3" s="1"/>
  <c r="B32" i="3" s="1"/>
  <c r="B33" i="3" s="1"/>
  <c r="B34" i="3" s="1"/>
  <c r="B35" i="3" s="1"/>
  <c r="M26" i="3"/>
  <c r="M27" i="3" s="1"/>
  <c r="M28" i="3" s="1"/>
  <c r="M29" i="3" s="1"/>
  <c r="M30" i="3" s="1"/>
  <c r="M31" i="3" s="1"/>
  <c r="M32" i="3" s="1"/>
  <c r="M33" i="3" s="1"/>
  <c r="M34" i="3" s="1"/>
  <c r="M35" i="3" s="1"/>
  <c r="N26" i="3" l="1"/>
  <c r="N27" i="3" s="1"/>
  <c r="N28" i="3" s="1"/>
  <c r="N29" i="3" s="1"/>
  <c r="N30" i="3" s="1"/>
  <c r="N31" i="3" s="1"/>
  <c r="N32" i="3" s="1"/>
  <c r="N33" i="3" s="1"/>
  <c r="N34" i="3" s="1"/>
  <c r="N35" i="3" s="1"/>
  <c r="N38" i="3"/>
  <c r="K40" i="2" s="1"/>
  <c r="R26" i="3"/>
  <c r="R27" i="3" s="1"/>
  <c r="R28" i="3" s="1"/>
  <c r="R29" i="3" s="1"/>
  <c r="R30" i="3" s="1"/>
  <c r="R31" i="3" s="1"/>
  <c r="R32" i="3" s="1"/>
  <c r="R33" i="3" s="1"/>
  <c r="R34" i="3" s="1"/>
  <c r="R35" i="3" s="1"/>
  <c r="R38" i="3"/>
  <c r="K44" i="2" s="1"/>
  <c r="O41" i="2" s="1"/>
  <c r="Q26" i="3"/>
  <c r="Q27" i="3" s="1"/>
  <c r="Q28" i="3" s="1"/>
  <c r="Q29" i="3" s="1"/>
  <c r="Q30" i="3" s="1"/>
  <c r="Q31" i="3" s="1"/>
  <c r="Q32" i="3" s="1"/>
  <c r="Q33" i="3" s="1"/>
  <c r="Q34" i="3" s="1"/>
  <c r="Q35" i="3" s="1"/>
  <c r="Q38" i="3"/>
  <c r="K43" i="2" s="1"/>
  <c r="O26" i="3"/>
  <c r="O27" i="3" s="1"/>
  <c r="O28" i="3" s="1"/>
  <c r="O29" i="3" s="1"/>
  <c r="O30" i="3" s="1"/>
  <c r="O31" i="3" s="1"/>
  <c r="O32" i="3" s="1"/>
  <c r="O33" i="3" s="1"/>
  <c r="O34" i="3" s="1"/>
  <c r="O35" i="3" s="1"/>
  <c r="P26" i="3"/>
  <c r="P27" i="3" s="1"/>
  <c r="P28" i="3" s="1"/>
  <c r="P29" i="3" s="1"/>
  <c r="P30" i="3" s="1"/>
  <c r="P31" i="3" s="1"/>
  <c r="P32" i="3" s="1"/>
  <c r="P33" i="3" s="1"/>
  <c r="P34" i="3" s="1"/>
  <c r="P35" i="3" s="1"/>
  <c r="P38" i="3"/>
  <c r="K42" i="2" s="1"/>
  <c r="G51" i="2" s="1"/>
  <c r="G52" i="2" s="1"/>
  <c r="B26" i="2"/>
  <c r="G26" i="2" s="1"/>
  <c r="B27" i="2" l="1"/>
  <c r="B33" i="2" s="1"/>
  <c r="C40" i="2" l="1"/>
  <c r="C38" i="2"/>
  <c r="C42" i="2"/>
  <c r="C41" i="2"/>
  <c r="C43" i="2"/>
  <c r="C39" i="2"/>
  <c r="C44" i="2"/>
  <c r="G37" i="3" l="1"/>
  <c r="G43" i="2" s="1"/>
  <c r="H37" i="3"/>
  <c r="G44" i="2" s="1"/>
  <c r="C37" i="3"/>
  <c r="E37" i="3"/>
  <c r="G41" i="2" s="1"/>
  <c r="G40" i="2"/>
  <c r="F37" i="3"/>
  <c r="G42" i="2" s="1"/>
  <c r="O40" i="2" s="1"/>
  <c r="O42" i="2" s="1"/>
  <c r="G38" i="2"/>
  <c r="G39" i="2" l="1"/>
  <c r="H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Pietro</author>
  </authors>
  <commentList>
    <comment ref="B25" authorId="0" shapeId="0" xr:uid="{D82BE939-E1F6-4574-BF90-43D61A98E12F}">
      <text>
        <r>
          <rPr>
            <b/>
            <sz val="9"/>
            <color rgb="FF000000"/>
            <rFont val="Tahoma"/>
            <family val="2"/>
          </rPr>
          <t>Tasso: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 hai ottenuto dalla banca condizioni differenti cambia questo valore.</t>
        </r>
      </text>
    </comment>
  </commentList>
</comments>
</file>

<file path=xl/sharedStrings.xml><?xml version="1.0" encoding="utf-8"?>
<sst xmlns="http://schemas.openxmlformats.org/spreadsheetml/2006/main" count="110" uniqueCount="84">
  <si>
    <t>Confronto Mutuo vs Affitto</t>
  </si>
  <si>
    <t>Mutuo</t>
  </si>
  <si>
    <t>Locali</t>
  </si>
  <si>
    <t>Bagni</t>
  </si>
  <si>
    <t>Piano</t>
  </si>
  <si>
    <t>Rata</t>
  </si>
  <si>
    <t>Totale</t>
  </si>
  <si>
    <t>Miglior soluzione Acquisto</t>
  </si>
  <si>
    <t>Miglior soluzione Affitto</t>
  </si>
  <si>
    <t>Metri quadri</t>
  </si>
  <si>
    <t>Spese condominiali</t>
  </si>
  <si>
    <t>Dati economici</t>
  </si>
  <si>
    <t>Richiesta</t>
  </si>
  <si>
    <t>Dati immobile</t>
  </si>
  <si>
    <t>Classe energetica (kWh/m2)</t>
  </si>
  <si>
    <t>Giardino (m2)</t>
  </si>
  <si>
    <t>Canone affitto</t>
  </si>
  <si>
    <t>Stima spese riscaldamento</t>
  </si>
  <si>
    <t>Dati bollette</t>
  </si>
  <si>
    <t>Da m3 di gas a kwh</t>
  </si>
  <si>
    <t>Stima spese elettricità</t>
  </si>
  <si>
    <t>Kwh annui (elettricita)</t>
  </si>
  <si>
    <t>Bollette al mese (media)</t>
  </si>
  <si>
    <t>Acconto</t>
  </si>
  <si>
    <t>Importo Mutuo</t>
  </si>
  <si>
    <t>Durata (in anni, max 20)</t>
  </si>
  <si>
    <t>Tasso Fisso</t>
  </si>
  <si>
    <t>Tot Interessi</t>
  </si>
  <si>
    <t>Spese istruttoria</t>
  </si>
  <si>
    <t>Imposta di bollo</t>
  </si>
  <si>
    <t>Stima manutenzione</t>
  </si>
  <si>
    <t>Caparra</t>
  </si>
  <si>
    <t>Spese iniziali</t>
  </si>
  <si>
    <t>Spese complessive</t>
  </si>
  <si>
    <t>Valore Immobile</t>
  </si>
  <si>
    <t>Patrimonio meno spese</t>
  </si>
  <si>
    <t>Var % Immobile Annuo</t>
  </si>
  <si>
    <t>Var % Affitto Annuo</t>
  </si>
  <si>
    <t>Rata Affitto</t>
  </si>
  <si>
    <t>Ultima</t>
  </si>
  <si>
    <t>Investimento</t>
  </si>
  <si>
    <t>(vedi sotto)</t>
  </si>
  <si>
    <t>Spesa</t>
  </si>
  <si>
    <t>Var % PTF</t>
  </si>
  <si>
    <t>Val PTF</t>
  </si>
  <si>
    <t>Differenza Media Rata Mutuo/Affitto (2%)</t>
  </si>
  <si>
    <t>Investimento mensile PAC</t>
  </si>
  <si>
    <t>Investimento iniziale</t>
  </si>
  <si>
    <t>Rata termin.</t>
  </si>
  <si>
    <t>Rata affitto (+2%)</t>
  </si>
  <si>
    <t>Manutenzione (+2%)</t>
  </si>
  <si>
    <t>Spese condominiali (+2%)</t>
  </si>
  <si>
    <t>Spese</t>
  </si>
  <si>
    <t>Dati PAC</t>
  </si>
  <si>
    <t>Tot investito</t>
  </si>
  <si>
    <t>Tot Speso/Investito</t>
  </si>
  <si>
    <t>Netto</t>
  </si>
  <si>
    <t>subtotale</t>
  </si>
  <si>
    <t>Dividendi/Cedole (3%)</t>
  </si>
  <si>
    <t>&lt;-- su un ptf cresciuto del 5%/annuo</t>
  </si>
  <si>
    <t>Somma versamenti mensili</t>
  </si>
  <si>
    <t>Costo gas</t>
  </si>
  <si>
    <t>Costo elettricità</t>
  </si>
  <si>
    <t>Come calcolare la stima delle bollette</t>
  </si>
  <si>
    <t>Tipo riscaldamento</t>
  </si>
  <si>
    <t>Pompa di calore</t>
  </si>
  <si>
    <r>
      <rPr>
        <b/>
        <sz val="11"/>
        <color theme="1"/>
        <rFont val="Lato"/>
        <family val="2"/>
        <scheme val="minor"/>
      </rPr>
      <t xml:space="preserve">1.    </t>
    </r>
    <r>
      <rPr>
        <sz val="11"/>
        <color theme="1"/>
        <rFont val="Lato"/>
        <family val="2"/>
        <scheme val="minor"/>
      </rPr>
      <t>Inserisci il costo attuale di gas (€/m3) e elettricità (€/kWh)</t>
    </r>
  </si>
  <si>
    <r>
      <rPr>
        <b/>
        <sz val="11"/>
        <color theme="1"/>
        <rFont val="Lato"/>
        <family val="2"/>
        <scheme val="minor"/>
      </rPr>
      <t xml:space="preserve">2.   </t>
    </r>
    <r>
      <rPr>
        <sz val="11"/>
        <color theme="1"/>
        <rFont val="Lato"/>
        <family val="2"/>
        <scheme val="minor"/>
      </rPr>
      <t xml:space="preserve"> Inserisci i metri quadri di ogni immobile</t>
    </r>
  </si>
  <si>
    <r>
      <rPr>
        <b/>
        <sz val="11"/>
        <color theme="1"/>
        <rFont val="Lato"/>
        <family val="2"/>
        <scheme val="minor"/>
      </rPr>
      <t>3.</t>
    </r>
    <r>
      <rPr>
        <sz val="11"/>
        <color theme="1"/>
        <rFont val="Lato"/>
        <family val="2"/>
        <scheme val="minor"/>
      </rPr>
      <t xml:space="preserve">    Inserisci il valore di efficienza energetica (kWh/m2).</t>
    </r>
  </si>
  <si>
    <t xml:space="preserve">      Questo valore indica quanti kWh sono necessari in un anno per riscaldare un metro quadro di abitazione</t>
  </si>
  <si>
    <t xml:space="preserve">      Maggiore è il valore, maggiore sarà il dispendio energetico. Non sono compresi i consumi per il raffreddamento.</t>
  </si>
  <si>
    <r>
      <rPr>
        <b/>
        <sz val="11"/>
        <color theme="1"/>
        <rFont val="Lato"/>
        <family val="2"/>
        <scheme val="minor"/>
      </rPr>
      <t xml:space="preserve">5.   </t>
    </r>
    <r>
      <rPr>
        <sz val="11"/>
        <color theme="1"/>
        <rFont val="Lato"/>
        <family val="2"/>
        <scheme val="minor"/>
      </rPr>
      <t xml:space="preserve"> Selezionare il tipo di riscaldamento</t>
    </r>
  </si>
  <si>
    <r>
      <rPr>
        <b/>
        <sz val="11"/>
        <color theme="1"/>
        <rFont val="Lato"/>
        <family val="2"/>
        <scheme val="minor"/>
      </rPr>
      <t xml:space="preserve">4.   </t>
    </r>
    <r>
      <rPr>
        <sz val="11"/>
        <color theme="1"/>
        <rFont val="Lato"/>
        <family val="2"/>
        <scheme val="minor"/>
      </rPr>
      <t xml:space="preserve"> Inserire i consumi elettrici stimati all'anno (kWh) - </t>
    </r>
    <r>
      <rPr>
        <i/>
        <sz val="11"/>
        <color theme="1"/>
        <rFont val="Lato"/>
        <family val="2"/>
        <scheme val="minor"/>
      </rPr>
      <t>Una famiglia media di 2 persone consuma circa 2.000 kWh in un anno</t>
    </r>
  </si>
  <si>
    <t xml:space="preserve">Differenza </t>
  </si>
  <si>
    <t>Caso Acquisto</t>
  </si>
  <si>
    <t>Spesa annuale</t>
  </si>
  <si>
    <t>Spesa mensile</t>
  </si>
  <si>
    <t>Caso Affitto</t>
  </si>
  <si>
    <r>
      <rPr>
        <b/>
        <sz val="11"/>
        <color theme="1"/>
        <rFont val="Lato"/>
        <family val="2"/>
        <scheme val="minor"/>
      </rPr>
      <t xml:space="preserve">6.   </t>
    </r>
    <r>
      <rPr>
        <sz val="11"/>
        <color theme="1"/>
        <rFont val="Lato"/>
        <family val="2"/>
        <scheme val="minor"/>
      </rPr>
      <t xml:space="preserve"> Osserva le differenze</t>
    </r>
  </si>
  <si>
    <t>Note:</t>
  </si>
  <si>
    <t>Il calcolo può essere utile per osservare l'impatto di una diversa classe energetica nel tempo.</t>
  </si>
  <si>
    <t>Puoi provare a cambiare i prezzi della materia prima per osservare quanto aumenterebbero le bollette in entrambi i casi.</t>
  </si>
  <si>
    <t>Se vuoi fare il confronto tra 2 casi affitto o 2 casi acquisto, inseriscili nel modello e ignora tutti gli altri dati.</t>
  </si>
  <si>
    <t>A gas/metano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</si>
</sst>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&quot;Anno &quot;0"/>
    <numFmt numFmtId="166" formatCode="#,##0.0"/>
    <numFmt numFmtId="167" formatCode="_-* #,##0.00\ [$€-410]_-;\-* #,##0.00\ [$€-410]_-;_-* &quot;-&quot;??\ [$€-410]_-;_-@_-"/>
  </numFmts>
  <fonts count="18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1"/>
      <color theme="1"/>
      <name val="Lato"/>
      <family val="2"/>
      <scheme val="minor"/>
    </font>
    <font>
      <b/>
      <sz val="14"/>
      <color theme="1"/>
      <name val="Lato"/>
      <family val="2"/>
      <scheme val="minor"/>
    </font>
    <font>
      <i/>
      <sz val="11"/>
      <color theme="1"/>
      <name val="Lato"/>
      <family val="2"/>
      <scheme val="minor"/>
    </font>
    <font>
      <u/>
      <sz val="11"/>
      <color theme="10"/>
      <name val="Lato"/>
      <family val="2"/>
      <scheme val="minor"/>
    </font>
    <font>
      <sz val="11"/>
      <color theme="0"/>
      <name val="Lato"/>
      <family val="2"/>
      <scheme val="minor"/>
    </font>
    <font>
      <b/>
      <sz val="24"/>
      <color theme="0"/>
      <name val="Lato"/>
      <family val="2"/>
      <scheme val="minor"/>
    </font>
    <font>
      <b/>
      <sz val="12"/>
      <color theme="1"/>
      <name val="Lato"/>
      <family val="2"/>
      <scheme val="minor"/>
    </font>
    <font>
      <sz val="11"/>
      <color theme="4" tint="-0.249977111117893"/>
      <name val="Lato"/>
      <family val="2"/>
      <scheme val="minor"/>
    </font>
    <font>
      <b/>
      <sz val="11"/>
      <color theme="0"/>
      <name val="Lato"/>
      <family val="2"/>
      <scheme val="minor"/>
    </font>
    <font>
      <b/>
      <sz val="11"/>
      <color theme="4" tint="-0.249977111117893"/>
      <name val="Lato"/>
      <family val="2"/>
      <scheme val="minor"/>
    </font>
    <font>
      <sz val="11"/>
      <name val="Lato"/>
      <family val="2"/>
      <scheme val="minor"/>
    </font>
    <font>
      <b/>
      <sz val="11"/>
      <color theme="9"/>
      <name val="Lato"/>
      <family val="2"/>
      <scheme val="minor"/>
    </font>
    <font>
      <b/>
      <sz val="12"/>
      <color theme="0"/>
      <name val="Lato"/>
      <family val="2"/>
      <scheme val="minor"/>
    </font>
    <font>
      <b/>
      <i/>
      <sz val="11"/>
      <color theme="1"/>
      <name val="Lato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3" fontId="0" fillId="0" borderId="0" xfId="0" applyNumberFormat="1"/>
    <xf numFmtId="0" fontId="6" fillId="2" borderId="0" xfId="0" applyFont="1" applyFill="1"/>
    <xf numFmtId="0" fontId="7" fillId="2" borderId="0" xfId="0" applyFont="1" applyFill="1"/>
    <xf numFmtId="0" fontId="8" fillId="0" borderId="0" xfId="0" applyFont="1"/>
    <xf numFmtId="3" fontId="4" fillId="0" borderId="0" xfId="0" applyNumberFormat="1" applyFont="1"/>
    <xf numFmtId="10" fontId="0" fillId="0" borderId="0" xfId="5" applyNumberFormat="1" applyFont="1"/>
    <xf numFmtId="3" fontId="9" fillId="0" borderId="0" xfId="0" applyNumberFormat="1" applyFont="1"/>
    <xf numFmtId="166" fontId="9" fillId="0" borderId="0" xfId="0" applyNumberFormat="1" applyFont="1"/>
    <xf numFmtId="9" fontId="9" fillId="0" borderId="0" xfId="0" applyNumberFormat="1" applyFont="1"/>
    <xf numFmtId="0" fontId="9" fillId="0" borderId="0" xfId="0" applyFont="1"/>
    <xf numFmtId="0" fontId="0" fillId="0" borderId="0" xfId="0" applyAlignment="1">
      <alignment horizontal="centerContinuous"/>
    </xf>
    <xf numFmtId="0" fontId="0" fillId="3" borderId="0" xfId="0" applyFill="1"/>
    <xf numFmtId="9" fontId="0" fillId="3" borderId="0" xfId="0" applyNumberFormat="1" applyFill="1"/>
    <xf numFmtId="1" fontId="0" fillId="3" borderId="0" xfId="0" applyNumberFormat="1" applyFill="1"/>
    <xf numFmtId="0" fontId="0" fillId="0" borderId="0" xfId="0" applyAlignment="1">
      <alignment vertical="center" wrapText="1"/>
    </xf>
    <xf numFmtId="4" fontId="2" fillId="0" borderId="0" xfId="0" applyNumberFormat="1" applyFont="1"/>
    <xf numFmtId="3" fontId="0" fillId="4" borderId="0" xfId="0" applyNumberFormat="1" applyFill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3" fontId="11" fillId="0" borderId="0" xfId="0" applyNumberFormat="1" applyFont="1"/>
    <xf numFmtId="9" fontId="11" fillId="0" borderId="0" xfId="0" applyNumberFormat="1" applyFont="1"/>
    <xf numFmtId="0" fontId="11" fillId="0" borderId="0" xfId="0" applyFont="1"/>
    <xf numFmtId="3" fontId="12" fillId="0" borderId="0" xfId="0" applyNumberFormat="1" applyFont="1"/>
    <xf numFmtId="3" fontId="13" fillId="0" borderId="0" xfId="0" applyNumberFormat="1" applyFont="1"/>
    <xf numFmtId="0" fontId="10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 wrapText="1"/>
    </xf>
    <xf numFmtId="9" fontId="10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166" fontId="11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/>
    <xf numFmtId="9" fontId="0" fillId="5" borderId="2" xfId="5" applyFont="1" applyFill="1" applyBorder="1"/>
    <xf numFmtId="0" fontId="2" fillId="0" borderId="0" xfId="0" applyFont="1"/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2"/>
    </xf>
    <xf numFmtId="167" fontId="11" fillId="0" borderId="0" xfId="0" applyNumberFormat="1" applyFont="1"/>
    <xf numFmtId="0" fontId="14" fillId="2" borderId="0" xfId="0" applyFont="1" applyFill="1" applyAlignment="1">
      <alignment horizontal="centerContinuous" vertical="center" wrapText="1"/>
    </xf>
    <xf numFmtId="2" fontId="0" fillId="0" borderId="0" xfId="0" applyNumberFormat="1"/>
    <xf numFmtId="0" fontId="2" fillId="0" borderId="3" xfId="0" applyFont="1" applyBorder="1" applyAlignment="1">
      <alignment horizontal="right"/>
    </xf>
    <xf numFmtId="0" fontId="0" fillId="0" borderId="5" xfId="0" applyBorder="1"/>
    <xf numFmtId="0" fontId="2" fillId="0" borderId="4" xfId="0" applyFont="1" applyBorder="1"/>
    <xf numFmtId="3" fontId="15" fillId="0" borderId="0" xfId="0" applyNumberFormat="1" applyFont="1" applyAlignment="1">
      <alignment horizontal="left"/>
    </xf>
  </cellXfs>
  <cellStyles count="6">
    <cellStyle name="Collegamento ipertestuale 3" xfId="4" xr:uid="{D1F62212-D91B-475C-ADF7-E9B7BF92D54A}"/>
    <cellStyle name="Migliaia 2" xfId="3" xr:uid="{C3E5718B-0428-4CE4-84A1-C10CFE933068}"/>
    <cellStyle name="Normale" xfId="0" builtinId="0"/>
    <cellStyle name="Normale 3" xfId="1" xr:uid="{04FA60A1-4221-4D41-8AC0-CD61B951A6F8}"/>
    <cellStyle name="Percentuale" xfId="5" builtinId="5"/>
    <cellStyle name="Percentuale 2" xfId="2" xr:uid="{CD8461F0-A539-4956-9380-85D0D2B24B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ersonalizzato 1">
      <a:majorFont>
        <a:latin typeface="Lato Light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7014-A3D2-4A5F-8429-CEA1C0952967}">
  <dimension ref="A1:O73"/>
  <sheetViews>
    <sheetView showGridLines="0" topLeftCell="A58" workbookViewId="0">
      <selection activeCell="B85" sqref="B85"/>
    </sheetView>
  </sheetViews>
  <sheetFormatPr defaultColWidth="8.8125" defaultRowHeight="13.5"/>
  <cols>
    <col min="1" max="1" width="21.1875" customWidth="1"/>
    <col min="2" max="2" width="13.5" customWidth="1"/>
    <col min="3" max="3" width="11" customWidth="1"/>
    <col min="5" max="5" width="12" customWidth="1"/>
    <col min="6" max="6" width="20.3125" customWidth="1"/>
    <col min="7" max="7" width="11.5" customWidth="1"/>
    <col min="8" max="8" width="9.3125" customWidth="1"/>
    <col min="15" max="15" width="11" bestFit="1" customWidth="1"/>
  </cols>
  <sheetData>
    <row r="1" spans="1:10" s="8" customFormat="1" ht="30">
      <c r="A1" s="9" t="s">
        <v>0</v>
      </c>
    </row>
    <row r="3" spans="1:10" ht="17.649999999999999">
      <c r="A3" s="4" t="s">
        <v>7</v>
      </c>
      <c r="F3" s="4" t="s">
        <v>8</v>
      </c>
    </row>
    <row r="4" spans="1:10" ht="15">
      <c r="A4" s="34" t="s">
        <v>13</v>
      </c>
      <c r="B4" s="31"/>
      <c r="C4" s="34"/>
      <c r="F4" s="34" t="s">
        <v>13</v>
      </c>
      <c r="G4" s="31"/>
      <c r="H4" s="34"/>
      <c r="I4" s="34"/>
      <c r="J4" s="31"/>
    </row>
    <row r="5" spans="1:10" ht="13.9">
      <c r="A5" t="s">
        <v>2</v>
      </c>
      <c r="B5" s="26">
        <v>2</v>
      </c>
      <c r="F5" t="s">
        <v>2</v>
      </c>
      <c r="G5" s="26">
        <v>2</v>
      </c>
      <c r="H5" s="13"/>
    </row>
    <row r="6" spans="1:10" ht="13.9">
      <c r="A6" t="s">
        <v>9</v>
      </c>
      <c r="B6" s="26">
        <v>70</v>
      </c>
      <c r="F6" t="s">
        <v>9</v>
      </c>
      <c r="G6" s="26">
        <v>70</v>
      </c>
      <c r="H6" s="13"/>
    </row>
    <row r="7" spans="1:10" ht="13.9">
      <c r="A7" t="s">
        <v>3</v>
      </c>
      <c r="B7" s="26">
        <v>1</v>
      </c>
      <c r="F7" t="s">
        <v>3</v>
      </c>
      <c r="G7" s="26">
        <v>1</v>
      </c>
      <c r="H7" s="13"/>
    </row>
    <row r="8" spans="1:10" ht="13.9">
      <c r="A8" t="s">
        <v>4</v>
      </c>
      <c r="B8" s="26">
        <v>3</v>
      </c>
      <c r="F8" t="s">
        <v>4</v>
      </c>
      <c r="G8" s="26">
        <v>2</v>
      </c>
      <c r="H8" s="13"/>
    </row>
    <row r="9" spans="1:10" ht="13.9">
      <c r="A9" t="s">
        <v>15</v>
      </c>
      <c r="B9" s="26">
        <v>0</v>
      </c>
      <c r="F9" t="s">
        <v>15</v>
      </c>
      <c r="G9" s="26">
        <v>0</v>
      </c>
      <c r="H9" s="13"/>
    </row>
    <row r="10" spans="1:10" ht="13.9">
      <c r="A10" t="s">
        <v>64</v>
      </c>
      <c r="B10" s="26" t="s">
        <v>65</v>
      </c>
      <c r="F10" t="s">
        <v>64</v>
      </c>
      <c r="G10" s="26" t="s">
        <v>83</v>
      </c>
      <c r="H10" s="13"/>
    </row>
    <row r="11" spans="1:10" ht="27">
      <c r="A11" s="21" t="s">
        <v>14</v>
      </c>
      <c r="B11" s="35">
        <v>120</v>
      </c>
      <c r="F11" s="21" t="s">
        <v>14</v>
      </c>
      <c r="G11" s="35">
        <v>80</v>
      </c>
      <c r="H11" s="14"/>
    </row>
    <row r="12" spans="1:10">
      <c r="B12" s="7"/>
    </row>
    <row r="13" spans="1:10" ht="15">
      <c r="A13" s="34" t="s">
        <v>11</v>
      </c>
      <c r="B13" s="31"/>
      <c r="C13" s="34"/>
      <c r="F13" s="34" t="s">
        <v>11</v>
      </c>
      <c r="G13" s="31"/>
      <c r="H13" s="34"/>
      <c r="I13" s="34"/>
      <c r="J13" s="31"/>
    </row>
    <row r="14" spans="1:10" ht="13.9">
      <c r="A14" t="s">
        <v>12</v>
      </c>
      <c r="B14" s="26">
        <f>B6*2300</f>
        <v>161000</v>
      </c>
      <c r="F14" t="s">
        <v>16</v>
      </c>
      <c r="G14" s="28">
        <v>700</v>
      </c>
      <c r="H14" s="16"/>
    </row>
    <row r="15" spans="1:10" ht="13.9">
      <c r="A15" t="s">
        <v>10</v>
      </c>
      <c r="B15" s="26">
        <v>100</v>
      </c>
      <c r="F15" t="s">
        <v>10</v>
      </c>
      <c r="G15" s="26">
        <v>100</v>
      </c>
      <c r="H15" s="13"/>
    </row>
    <row r="16" spans="1:10" ht="13.9">
      <c r="A16" s="5" t="s">
        <v>17</v>
      </c>
      <c r="B16" s="11">
        <f>(B11*B6)/$B$57*IF(B10="Pompa di calore",$B$56,$B$55)</f>
        <v>94.231279620853073</v>
      </c>
      <c r="F16" s="5" t="s">
        <v>17</v>
      </c>
      <c r="G16" s="11">
        <f>(G11*G6)/$B$57*IF(G10="Pompa di calore",$B$56,$B$55)</f>
        <v>187.90521327014216</v>
      </c>
      <c r="H16" s="11"/>
    </row>
    <row r="17" spans="1:10" ht="13.9">
      <c r="A17" s="5" t="s">
        <v>20</v>
      </c>
      <c r="B17" s="11">
        <f>$B$58*$B$56</f>
        <v>236.7</v>
      </c>
      <c r="F17" s="5" t="s">
        <v>20</v>
      </c>
      <c r="G17" s="11">
        <f>$B$58*$B$56</f>
        <v>236.7</v>
      </c>
      <c r="H17" s="11"/>
    </row>
    <row r="18" spans="1:10">
      <c r="A18" t="s">
        <v>22</v>
      </c>
      <c r="B18" s="7">
        <f>SUM(B16:B17)/12</f>
        <v>27.577606635071088</v>
      </c>
      <c r="F18" t="s">
        <v>22</v>
      </c>
      <c r="G18" s="7">
        <f>SUM(G16:G17)/12</f>
        <v>35.383767772511845</v>
      </c>
      <c r="H18" s="7"/>
    </row>
    <row r="19" spans="1:10" ht="13.9">
      <c r="A19" t="s">
        <v>30</v>
      </c>
      <c r="B19" s="7">
        <f>B14*C19</f>
        <v>1610</v>
      </c>
      <c r="C19" s="27">
        <v>0.01</v>
      </c>
      <c r="F19" t="s">
        <v>30</v>
      </c>
      <c r="G19" s="7">
        <f>B19/5</f>
        <v>322</v>
      </c>
      <c r="H19" s="7"/>
      <c r="I19" s="15"/>
    </row>
    <row r="20" spans="1:10">
      <c r="B20" s="7"/>
      <c r="G20" s="7"/>
      <c r="H20" s="7"/>
    </row>
    <row r="21" spans="1:10" ht="15">
      <c r="A21" s="34" t="s">
        <v>1</v>
      </c>
      <c r="B21" s="31"/>
      <c r="C21" s="34"/>
      <c r="F21" t="s">
        <v>31</v>
      </c>
      <c r="G21" s="7">
        <f>G14*3</f>
        <v>2100</v>
      </c>
      <c r="H21" s="7"/>
    </row>
    <row r="22" spans="1:10" ht="13.9">
      <c r="A22" t="s">
        <v>23</v>
      </c>
      <c r="B22" s="7">
        <f>B14*C22</f>
        <v>32200</v>
      </c>
      <c r="C22" s="27">
        <v>0.2</v>
      </c>
      <c r="G22" s="7"/>
      <c r="H22" s="7"/>
    </row>
    <row r="23" spans="1:10">
      <c r="A23" t="s">
        <v>24</v>
      </c>
      <c r="B23" s="7">
        <f>B14-B22</f>
        <v>128800</v>
      </c>
      <c r="C23" s="3"/>
      <c r="G23" s="7"/>
      <c r="H23" s="7"/>
    </row>
    <row r="24" spans="1:10" ht="13.9">
      <c r="A24" t="s">
        <v>25</v>
      </c>
      <c r="B24" s="26">
        <v>30</v>
      </c>
      <c r="C24" s="3"/>
      <c r="G24" s="7"/>
      <c r="H24" s="7"/>
    </row>
    <row r="25" spans="1:10" ht="15">
      <c r="A25" t="s">
        <v>26</v>
      </c>
      <c r="B25" s="12" t="e">
        <f>#REF!</f>
        <v>#REF!</v>
      </c>
      <c r="C25" s="3"/>
      <c r="F25" s="34" t="s">
        <v>53</v>
      </c>
      <c r="G25" s="31"/>
      <c r="H25" s="34"/>
      <c r="I25" s="34"/>
      <c r="J25" s="31"/>
    </row>
    <row r="26" spans="1:10" ht="27.4">
      <c r="A26" s="10" t="s">
        <v>5</v>
      </c>
      <c r="B26" s="22" t="e">
        <f>#REF!</f>
        <v>#REF!</v>
      </c>
      <c r="C26" s="3"/>
      <c r="F26" s="2" t="s">
        <v>45</v>
      </c>
      <c r="G26" s="29" t="e">
        <f ca="1">B26-AVERAGE(OFFSET(calcoli_max_30y!F5,0,0,1+B24,))</f>
        <v>#REF!</v>
      </c>
    </row>
    <row r="27" spans="1:10" ht="13.9">
      <c r="A27" t="s">
        <v>27</v>
      </c>
      <c r="B27" s="7" t="e">
        <f>#REF!</f>
        <v>#REF!</v>
      </c>
      <c r="C27" s="3"/>
      <c r="F27" t="s">
        <v>46</v>
      </c>
      <c r="G27" s="30">
        <v>0</v>
      </c>
      <c r="H27" s="49" t="e">
        <f ca="1">IF(G26&gt;0,"&lt;-- Il valore suggerito è di "&amp;ROUND(G26,0),"&lt;-- Rata Affitto più cara di Mutuo. Non ci sono soldi extra da investire. Inserisci ZERO come valore")</f>
        <v>#REF!</v>
      </c>
    </row>
    <row r="28" spans="1:10">
      <c r="A28" t="s">
        <v>28</v>
      </c>
      <c r="B28" s="7">
        <v>1000</v>
      </c>
      <c r="C28" s="3"/>
      <c r="F28" t="s">
        <v>47</v>
      </c>
      <c r="G28" s="7">
        <f>B32-G32</f>
        <v>34370</v>
      </c>
      <c r="H28" s="7"/>
    </row>
    <row r="29" spans="1:10">
      <c r="A29" t="s">
        <v>29</v>
      </c>
      <c r="B29" s="7">
        <f>B14*C29+50</f>
        <v>3270</v>
      </c>
      <c r="C29" s="3">
        <v>0.02</v>
      </c>
      <c r="F29" t="s">
        <v>60</v>
      </c>
      <c r="G29" s="7">
        <f>G27*12*B24</f>
        <v>0</v>
      </c>
      <c r="H29" s="7"/>
    </row>
    <row r="30" spans="1:10">
      <c r="B30" s="7"/>
      <c r="C30" s="3"/>
      <c r="G30" s="7"/>
      <c r="H30" s="7"/>
    </row>
    <row r="31" spans="1:10" ht="15">
      <c r="A31" s="34" t="s">
        <v>52</v>
      </c>
      <c r="B31" s="31"/>
      <c r="C31" s="34"/>
      <c r="F31" s="10" t="s">
        <v>52</v>
      </c>
      <c r="G31" s="7"/>
      <c r="H31" s="7"/>
    </row>
    <row r="32" spans="1:10">
      <c r="A32" t="s">
        <v>32</v>
      </c>
      <c r="B32" s="7">
        <f>B22+B28+B29</f>
        <v>36470</v>
      </c>
      <c r="C32" s="3"/>
      <c r="F32" t="s">
        <v>32</v>
      </c>
      <c r="G32" s="7">
        <f>G21</f>
        <v>2100</v>
      </c>
      <c r="H32" s="7"/>
    </row>
    <row r="33" spans="1:15">
      <c r="A33" t="s">
        <v>33</v>
      </c>
      <c r="B33" s="7" t="e">
        <f>B14+B27+B28+B29+(B15*12*B24)+(B19*B24)</f>
        <v>#REF!</v>
      </c>
      <c r="C33" s="3"/>
      <c r="F33" t="s">
        <v>33</v>
      </c>
      <c r="G33" s="7" t="s">
        <v>41</v>
      </c>
      <c r="H33" s="7"/>
    </row>
    <row r="34" spans="1:15">
      <c r="B34" s="7"/>
      <c r="C34" s="3"/>
      <c r="G34" s="7"/>
      <c r="H34" s="7"/>
    </row>
    <row r="35" spans="1:15">
      <c r="B35" s="7"/>
      <c r="C35" s="3"/>
      <c r="G35" s="7"/>
      <c r="H35" s="7"/>
    </row>
    <row r="36" spans="1:15">
      <c r="B36" s="7"/>
      <c r="C36" s="3"/>
      <c r="G36" s="7"/>
      <c r="H36" s="7"/>
    </row>
    <row r="37" spans="1:15" ht="41.65">
      <c r="A37" s="31" t="s">
        <v>36</v>
      </c>
      <c r="B37" s="32" t="s">
        <v>34</v>
      </c>
      <c r="C37" s="33" t="s">
        <v>35</v>
      </c>
      <c r="F37" s="31" t="s">
        <v>37</v>
      </c>
      <c r="G37" s="31" t="s">
        <v>42</v>
      </c>
      <c r="H37" s="31" t="s">
        <v>48</v>
      </c>
      <c r="I37" s="31" t="s">
        <v>54</v>
      </c>
      <c r="J37" s="31" t="s">
        <v>43</v>
      </c>
      <c r="K37" s="31" t="s">
        <v>44</v>
      </c>
      <c r="M37" t="s">
        <v>37</v>
      </c>
      <c r="O37" s="39">
        <v>0.02</v>
      </c>
    </row>
    <row r="38" spans="1:15">
      <c r="A38" s="3">
        <v>-0.02</v>
      </c>
      <c r="B38" s="7">
        <f>$B$14*(1+A38)^$B$24</f>
        <v>87822.9754205723</v>
      </c>
      <c r="C38" s="7" t="e">
        <f>B38-$B$33</f>
        <v>#REF!</v>
      </c>
      <c r="F38" s="3">
        <v>-0.02</v>
      </c>
      <c r="G38" s="7">
        <f ca="1">-calcoli_max_30y!B37</f>
        <v>-190896.58585937633</v>
      </c>
      <c r="H38" s="7">
        <f>calcoli_max_30y!B38</f>
        <v>381.83902356770585</v>
      </c>
      <c r="I38" s="7">
        <f>SUM($G$28:$G$29)</f>
        <v>34370</v>
      </c>
      <c r="J38" s="3">
        <v>-0.02</v>
      </c>
      <c r="K38" s="7">
        <f>calcoli_max_30y!L38</f>
        <v>18748.29605717435</v>
      </c>
      <c r="L38" s="7"/>
      <c r="M38" t="s">
        <v>43</v>
      </c>
      <c r="O38" s="39">
        <v>0.1</v>
      </c>
    </row>
    <row r="39" spans="1:15">
      <c r="A39" s="3">
        <v>-0.01</v>
      </c>
      <c r="B39" s="7">
        <f>$B$14*(1+A39)^$B$24</f>
        <v>119091.7601155131</v>
      </c>
      <c r="C39" s="7" t="e">
        <f t="shared" ref="C39:C44" si="0">B39-$B$33</f>
        <v>#REF!</v>
      </c>
      <c r="F39" s="3">
        <v>-0.01</v>
      </c>
      <c r="G39" s="7">
        <f ca="1">-calcoli_max_30y!C37</f>
        <v>-218651.68635384444</v>
      </c>
      <c r="H39" s="7">
        <f>calcoli_max_30y!C38</f>
        <v>517.79026137179608</v>
      </c>
      <c r="I39" s="7">
        <f t="shared" ref="I39:I44" si="1">SUM($G$28:$G$29)</f>
        <v>34370</v>
      </c>
      <c r="J39" s="3">
        <v>0</v>
      </c>
      <c r="K39" s="7">
        <f>calcoli_max_30y!M38</f>
        <v>34370</v>
      </c>
      <c r="L39" s="7"/>
    </row>
    <row r="40" spans="1:15">
      <c r="A40" s="3">
        <v>0</v>
      </c>
      <c r="B40" s="7">
        <f>B14</f>
        <v>161000</v>
      </c>
      <c r="C40" s="7" t="e">
        <f>B40-$B$33</f>
        <v>#REF!</v>
      </c>
      <c r="F40" s="3">
        <v>0</v>
      </c>
      <c r="G40" s="7">
        <f ca="1">-calcoli_max_30y!D37</f>
        <v>-252000</v>
      </c>
      <c r="H40" s="7">
        <f>calcoli_max_30y!D38</f>
        <v>700</v>
      </c>
      <c r="I40" s="7">
        <f t="shared" si="1"/>
        <v>34370</v>
      </c>
      <c r="J40" s="3">
        <v>0.02</v>
      </c>
      <c r="K40" s="7">
        <f>calcoli_max_30y!N38</f>
        <v>62256.497645632291</v>
      </c>
      <c r="L40" s="7"/>
      <c r="M40" t="s">
        <v>55</v>
      </c>
      <c r="O40" s="7">
        <f ca="1">VLOOKUP($O$37,F38:K44,2,FALSE)-I38</f>
        <v>-375141.86532340868</v>
      </c>
    </row>
    <row r="41" spans="1:15">
      <c r="A41" s="3">
        <v>0.01</v>
      </c>
      <c r="B41" s="7">
        <f>$B$14*(1+A41)^$B$24</f>
        <v>217003.67536859791</v>
      </c>
      <c r="C41" s="23" t="e">
        <f t="shared" si="0"/>
        <v>#REF!</v>
      </c>
      <c r="F41" s="3">
        <v>0.01</v>
      </c>
      <c r="G41" s="7">
        <f ca="1">-calcoli_max_30y!E37</f>
        <v>-292193.0888796408</v>
      </c>
      <c r="H41" s="7">
        <f>calcoli_max_30y!E38</f>
        <v>943.49424073303453</v>
      </c>
      <c r="I41" s="7">
        <f t="shared" si="1"/>
        <v>34370</v>
      </c>
      <c r="J41" s="3">
        <v>0.04</v>
      </c>
      <c r="K41" s="7">
        <f>calcoli_max_30y!O38</f>
        <v>111475.57241964663</v>
      </c>
      <c r="L41" s="7"/>
      <c r="M41" s="7" t="s">
        <v>44</v>
      </c>
      <c r="O41" s="7">
        <f>VLOOKUP(O38,J38:K44,2,FALSE)</f>
        <v>599735.95598162734</v>
      </c>
    </row>
    <row r="42" spans="1:15" ht="13.9">
      <c r="A42" s="3">
        <v>0.02</v>
      </c>
      <c r="B42" s="7">
        <f>$B$14*(1+A42)^$B$24</f>
        <v>291629.21504063992</v>
      </c>
      <c r="C42" s="23" t="e">
        <f t="shared" si="0"/>
        <v>#REF!</v>
      </c>
      <c r="F42" s="3">
        <v>0.02</v>
      </c>
      <c r="G42" s="23">
        <f ca="1">-calcoli_max_30y!F37</f>
        <v>-340771.86532340868</v>
      </c>
      <c r="H42" s="23">
        <f>calcoli_max_30y!F38</f>
        <v>1267.9531088723479</v>
      </c>
      <c r="I42" s="7">
        <f t="shared" si="1"/>
        <v>34370</v>
      </c>
      <c r="J42" s="3">
        <v>0.06</v>
      </c>
      <c r="K42" s="23">
        <f>calcoli_max_30y!P38</f>
        <v>197403.79161302876</v>
      </c>
      <c r="L42" s="7"/>
      <c r="M42" s="36" t="s">
        <v>56</v>
      </c>
      <c r="N42" s="36"/>
      <c r="O42" s="25">
        <f ca="1">SUM(O40:O41)</f>
        <v>224594.09065821866</v>
      </c>
    </row>
    <row r="43" spans="1:15">
      <c r="A43" s="3">
        <v>0.03</v>
      </c>
      <c r="B43" s="7">
        <f>$B$14*(1+A43)^$B$24</f>
        <v>390789.25786153512</v>
      </c>
      <c r="C43" s="7" t="e">
        <f t="shared" si="0"/>
        <v>#REF!</v>
      </c>
      <c r="F43" s="3">
        <v>0.03</v>
      </c>
      <c r="G43" s="7">
        <f ca="1">-calcoli_max_30y!G37</f>
        <v>-399633.49193310505</v>
      </c>
      <c r="H43" s="7">
        <f>calcoli_max_30y!G38</f>
        <v>1699.0837298327635</v>
      </c>
      <c r="I43" s="7">
        <f t="shared" si="1"/>
        <v>34370</v>
      </c>
      <c r="J43" s="3">
        <v>0.08</v>
      </c>
      <c r="K43" s="23">
        <f>calcoli_max_30y!Q38</f>
        <v>345853.51727745443</v>
      </c>
      <c r="L43" s="7"/>
    </row>
    <row r="44" spans="1:15">
      <c r="A44" s="3">
        <v>0.04</v>
      </c>
      <c r="B44" s="7">
        <f>$B$14*(1+A44)^$B$24</f>
        <v>522186.99911443429</v>
      </c>
      <c r="C44" s="7" t="e">
        <f t="shared" si="0"/>
        <v>#REF!</v>
      </c>
      <c r="F44" s="3">
        <v>0.04</v>
      </c>
      <c r="G44" s="7">
        <f ca="1">-calcoli_max_30y!H37</f>
        <v>-471113.4771057833</v>
      </c>
      <c r="H44" s="7">
        <f>calcoli_max_30y!H38</f>
        <v>2270.3782570192793</v>
      </c>
      <c r="I44" s="7">
        <f t="shared" si="1"/>
        <v>34370</v>
      </c>
      <c r="J44" s="3">
        <v>0.1</v>
      </c>
      <c r="K44" s="7">
        <f>calcoli_max_30y!R38</f>
        <v>599735.95598162734</v>
      </c>
      <c r="L44" s="7"/>
    </row>
    <row r="45" spans="1:15">
      <c r="K45" s="7"/>
    </row>
    <row r="46" spans="1:15" ht="15">
      <c r="A46" s="10" t="str">
        <f>"Spese mese successivo all'anno "&amp;$B$24</f>
        <v>Spese mese successivo all'anno 30</v>
      </c>
      <c r="F46" s="10" t="str">
        <f>"Spese mese successivo all'anno "&amp;$B$24</f>
        <v>Spese mese successivo all'anno 30</v>
      </c>
      <c r="K46" s="7"/>
    </row>
    <row r="47" spans="1:15">
      <c r="A47" t="s">
        <v>1</v>
      </c>
      <c r="B47">
        <v>0</v>
      </c>
      <c r="F47" t="s">
        <v>49</v>
      </c>
      <c r="G47" s="7">
        <f>H42</f>
        <v>1267.9531088723479</v>
      </c>
      <c r="K47" s="7"/>
    </row>
    <row r="48" spans="1:15">
      <c r="A48" t="s">
        <v>50</v>
      </c>
      <c r="B48" s="7">
        <f>(C19*B40/12)*(1.02)^B24</f>
        <v>243.02434586719991</v>
      </c>
      <c r="F48" t="s">
        <v>50</v>
      </c>
      <c r="G48" s="7">
        <f>G19/2*(1.02)^B24</f>
        <v>291.62921504063991</v>
      </c>
      <c r="K48" s="7"/>
    </row>
    <row r="49" spans="1:11">
      <c r="A49" t="s">
        <v>51</v>
      </c>
      <c r="B49" s="7">
        <f>B15*(1.02)^B24</f>
        <v>181.13615841033536</v>
      </c>
      <c r="F49" t="s">
        <v>51</v>
      </c>
      <c r="G49" s="7">
        <f>G15*(1.02)^B24</f>
        <v>181.13615841033536</v>
      </c>
      <c r="K49" s="7"/>
    </row>
    <row r="50" spans="1:11" ht="13.9">
      <c r="A50" s="24" t="s">
        <v>6</v>
      </c>
      <c r="B50" s="25">
        <f>SUM(B47:B49)</f>
        <v>424.16050427753527</v>
      </c>
      <c r="F50" s="24" t="s">
        <v>57</v>
      </c>
      <c r="G50" s="25">
        <f>SUM(G47:G49)</f>
        <v>1740.7184823233231</v>
      </c>
      <c r="K50" s="7"/>
    </row>
    <row r="51" spans="1:11" ht="13.9">
      <c r="A51" s="37"/>
      <c r="B51" s="38"/>
      <c r="F51" t="s">
        <v>58</v>
      </c>
      <c r="G51" s="7">
        <f>AVERAGE(K41:K42)*0.03/12</f>
        <v>386.09920504084425</v>
      </c>
      <c r="H51" t="s">
        <v>59</v>
      </c>
      <c r="K51" s="7"/>
    </row>
    <row r="52" spans="1:11" ht="13.9">
      <c r="A52" s="37"/>
      <c r="B52" s="38"/>
      <c r="F52" s="24" t="s">
        <v>6</v>
      </c>
      <c r="G52" s="25">
        <f>G50-G51</f>
        <v>1354.6192772824788</v>
      </c>
      <c r="K52" s="7"/>
    </row>
    <row r="54" spans="1:11" ht="15">
      <c r="A54" s="34" t="s">
        <v>18</v>
      </c>
      <c r="B54" s="31"/>
      <c r="C54" s="34"/>
      <c r="D54" s="44" t="s">
        <v>73</v>
      </c>
      <c r="E54" s="44"/>
      <c r="F54" s="44"/>
      <c r="G54" s="44"/>
    </row>
    <row r="55" spans="1:11" ht="13.9">
      <c r="A55" t="s">
        <v>61</v>
      </c>
      <c r="B55" s="43">
        <v>0.35399999999999998</v>
      </c>
      <c r="E55" s="47"/>
      <c r="F55" s="46" t="s">
        <v>75</v>
      </c>
      <c r="G55" s="46" t="s">
        <v>76</v>
      </c>
    </row>
    <row r="56" spans="1:11" ht="13.9">
      <c r="A56" t="s">
        <v>62</v>
      </c>
      <c r="B56" s="43">
        <v>0.11835</v>
      </c>
      <c r="E56" s="48" t="s">
        <v>74</v>
      </c>
      <c r="F56" s="7">
        <f>SUM(B16:B17)</f>
        <v>330.93127962085305</v>
      </c>
      <c r="G56" s="45">
        <f>F56/12</f>
        <v>27.577606635071088</v>
      </c>
    </row>
    <row r="57" spans="1:11" ht="13.9">
      <c r="A57" t="s">
        <v>19</v>
      </c>
      <c r="B57">
        <v>10.55</v>
      </c>
      <c r="E57" s="48" t="s">
        <v>77</v>
      </c>
      <c r="F57" s="7">
        <f>SUM(G16:G17)</f>
        <v>424.60521327014214</v>
      </c>
      <c r="G57" s="45">
        <f>F57/12</f>
        <v>35.383767772511845</v>
      </c>
    </row>
    <row r="58" spans="1:11" ht="13.9">
      <c r="A58" t="s">
        <v>21</v>
      </c>
      <c r="B58" s="28">
        <v>2000</v>
      </c>
    </row>
    <row r="60" spans="1:11" ht="13.9">
      <c r="A60" s="40" t="s">
        <v>63</v>
      </c>
    </row>
    <row r="61" spans="1:11" ht="13.9">
      <c r="A61" s="41" t="s">
        <v>66</v>
      </c>
    </row>
    <row r="62" spans="1:11" ht="13.9">
      <c r="A62" s="41" t="s">
        <v>67</v>
      </c>
    </row>
    <row r="63" spans="1:11" ht="13.9">
      <c r="A63" s="41" t="s">
        <v>68</v>
      </c>
    </row>
    <row r="64" spans="1:11" ht="13.9">
      <c r="A64" s="42" t="s">
        <v>69</v>
      </c>
    </row>
    <row r="65" spans="1:1" ht="13.9">
      <c r="A65" s="42" t="s">
        <v>70</v>
      </c>
    </row>
    <row r="66" spans="1:1" ht="13.9">
      <c r="A66" s="41" t="s">
        <v>72</v>
      </c>
    </row>
    <row r="67" spans="1:1" ht="13.9">
      <c r="A67" s="41" t="s">
        <v>71</v>
      </c>
    </row>
    <row r="68" spans="1:1" ht="13.9">
      <c r="A68" s="41" t="s">
        <v>78</v>
      </c>
    </row>
    <row r="70" spans="1:1">
      <c r="A70" s="41" t="s">
        <v>79</v>
      </c>
    </row>
    <row r="71" spans="1:1">
      <c r="A71" s="41" t="s">
        <v>80</v>
      </c>
    </row>
    <row r="72" spans="1:1">
      <c r="A72" s="41" t="s">
        <v>81</v>
      </c>
    </row>
    <row r="73" spans="1:1">
      <c r="A73" s="41" t="s">
        <v>82</v>
      </c>
    </row>
  </sheetData>
  <dataValidations count="4">
    <dataValidation type="decimal" allowBlank="1" showInputMessage="1" showErrorMessage="1" sqref="C22" xr:uid="{336DB9E3-2EB8-49A1-B0CF-BE9720733D1D}">
      <formula1>0.01</formula1>
      <formula2>0.99</formula2>
    </dataValidation>
    <dataValidation type="list" allowBlank="1" showInputMessage="1" showErrorMessage="1" sqref="O37" xr:uid="{6D7476D9-F999-4FD1-A261-91C2A8FC0A34}">
      <formula1>$F$38:$F$44</formula1>
    </dataValidation>
    <dataValidation type="list" allowBlank="1" showInputMessage="1" showErrorMessage="1" sqref="O38" xr:uid="{161A3B20-5F5D-4866-A7D6-68EC3B8EB96C}">
      <formula1>$J$38:$J$44</formula1>
    </dataValidation>
    <dataValidation type="list" allowBlank="1" showInputMessage="1" showErrorMessage="1" sqref="B10 G10" xr:uid="{C7CC3B05-868E-40CC-9C76-A334B66CE43D}">
      <formula1>"A gas/metano,Pompa di calore"</formula1>
    </dataValidation>
  </dataValidations>
  <pageMargins left="0.7" right="0.7" top="0.75" bottom="0.75" header="0.3" footer="0.3"/>
  <pageSetup paperSize="9" orientation="portrait" horizontalDpi="360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55B64A-A91C-425C-A917-388D571441A0}">
          <x14:formula1>
            <xm:f>#REF!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DC83-17C3-4249-BE69-2112EB2A08D1}">
  <dimension ref="A2:R40"/>
  <sheetViews>
    <sheetView tabSelected="1" zoomScale="109" workbookViewId="0">
      <selection activeCell="K5" sqref="K5"/>
    </sheetView>
  </sheetViews>
  <sheetFormatPr defaultColWidth="8.8125" defaultRowHeight="13.5"/>
  <cols>
    <col min="2" max="2" width="9.3125" bestFit="1" customWidth="1"/>
    <col min="10" max="10" width="3.3125" style="18" customWidth="1"/>
  </cols>
  <sheetData>
    <row r="2" spans="1:18">
      <c r="B2" s="17" t="s">
        <v>38</v>
      </c>
      <c r="C2" s="17"/>
      <c r="D2" s="17"/>
      <c r="E2" s="17"/>
      <c r="F2" s="17"/>
      <c r="G2" s="17"/>
      <c r="H2" s="17"/>
      <c r="L2" t="s">
        <v>40</v>
      </c>
    </row>
    <row r="3" spans="1:18" ht="12.75" customHeight="1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L3">
        <v>1</v>
      </c>
      <c r="M3">
        <v>2</v>
      </c>
      <c r="N3">
        <v>3</v>
      </c>
      <c r="O3">
        <v>4</v>
      </c>
      <c r="P3">
        <v>5</v>
      </c>
      <c r="Q3">
        <v>6</v>
      </c>
      <c r="R3">
        <v>7</v>
      </c>
    </row>
    <row r="4" spans="1:18">
      <c r="B4" s="3">
        <v>-0.02</v>
      </c>
      <c r="C4" s="3">
        <v>-0.01</v>
      </c>
      <c r="D4" s="3">
        <v>0</v>
      </c>
      <c r="E4" s="3">
        <v>0.01</v>
      </c>
      <c r="F4" s="3">
        <v>0.02</v>
      </c>
      <c r="G4" s="3">
        <v>0.03</v>
      </c>
      <c r="H4" s="3">
        <v>0.04</v>
      </c>
      <c r="I4" s="3"/>
      <c r="J4" s="19"/>
      <c r="K4" s="3"/>
      <c r="L4" s="3">
        <v>-0.02</v>
      </c>
      <c r="M4" s="3">
        <v>0</v>
      </c>
      <c r="N4" s="3">
        <v>0.02</v>
      </c>
      <c r="O4" s="3">
        <v>0.04</v>
      </c>
      <c r="P4" s="3">
        <v>0.06</v>
      </c>
      <c r="Q4" s="3">
        <v>0.08</v>
      </c>
      <c r="R4" s="3">
        <v>0.1</v>
      </c>
    </row>
    <row r="5" spans="1:18">
      <c r="A5" s="6">
        <v>0</v>
      </c>
      <c r="B5" s="7">
        <f>'calcolo rata mutuo'!$G$14</f>
        <v>700</v>
      </c>
      <c r="C5" s="7">
        <f>'calcolo rata mutuo'!$G$14</f>
        <v>700</v>
      </c>
      <c r="D5" s="7">
        <f>'calcolo rata mutuo'!$G$14</f>
        <v>700</v>
      </c>
      <c r="E5" s="7">
        <f>'calcolo rata mutuo'!$G$14</f>
        <v>700</v>
      </c>
      <c r="F5" s="7">
        <f>'calcolo rata mutuo'!$G$14</f>
        <v>700</v>
      </c>
      <c r="G5" s="7">
        <f>'calcolo rata mutuo'!$G$14</f>
        <v>700</v>
      </c>
      <c r="H5" s="7">
        <f>'calcolo rata mutuo'!$G$14</f>
        <v>700</v>
      </c>
      <c r="I5" s="1"/>
      <c r="J5" s="20"/>
      <c r="K5" s="6">
        <f>A5</f>
        <v>0</v>
      </c>
      <c r="L5" s="7">
        <f>+'calcolo rata mutuo'!$B$32-'calcolo rata mutuo'!$G$32</f>
        <v>34370</v>
      </c>
      <c r="M5" s="7">
        <f t="shared" ref="M5:R5" si="0">$L$5</f>
        <v>34370</v>
      </c>
      <c r="N5" s="7">
        <f t="shared" si="0"/>
        <v>34370</v>
      </c>
      <c r="O5" s="7">
        <f t="shared" si="0"/>
        <v>34370</v>
      </c>
      <c r="P5" s="7">
        <f t="shared" si="0"/>
        <v>34370</v>
      </c>
      <c r="Q5" s="7">
        <f t="shared" si="0"/>
        <v>34370</v>
      </c>
      <c r="R5" s="7">
        <f t="shared" si="0"/>
        <v>34370</v>
      </c>
    </row>
    <row r="6" spans="1:18">
      <c r="A6" s="6">
        <f>A5+1</f>
        <v>1</v>
      </c>
      <c r="B6" s="7">
        <f>B5*(1+B$4)</f>
        <v>686</v>
      </c>
      <c r="C6" s="7">
        <f t="shared" ref="C6:H6" si="1">C5*(1+C$4)</f>
        <v>693</v>
      </c>
      <c r="D6" s="7">
        <f t="shared" si="1"/>
        <v>700</v>
      </c>
      <c r="E6" s="7">
        <f t="shared" si="1"/>
        <v>707</v>
      </c>
      <c r="F6" s="7">
        <f t="shared" si="1"/>
        <v>714</v>
      </c>
      <c r="G6" s="7">
        <f t="shared" si="1"/>
        <v>721</v>
      </c>
      <c r="H6" s="7">
        <f t="shared" si="1"/>
        <v>728</v>
      </c>
      <c r="I6" s="1"/>
      <c r="J6" s="20"/>
      <c r="K6" s="6">
        <f>K5+1</f>
        <v>1</v>
      </c>
      <c r="L6" s="7">
        <f>(L5+'calcolo rata mutuo'!$G$27*12)*(1+L$4)</f>
        <v>33682.6</v>
      </c>
      <c r="M6" s="7">
        <f>(M5+'calcolo rata mutuo'!$G$27*12)*(1+M$4)</f>
        <v>34370</v>
      </c>
      <c r="N6" s="7">
        <f>(N5+'calcolo rata mutuo'!$G$27*12)*(1+N$4)</f>
        <v>35057.4</v>
      </c>
      <c r="O6" s="7">
        <f>(O5+'calcolo rata mutuo'!$G$27*12)*(1+O$4)</f>
        <v>35744.800000000003</v>
      </c>
      <c r="P6" s="7">
        <f>(P5+'calcolo rata mutuo'!$G$27*12)*(1+P$4)</f>
        <v>36432.200000000004</v>
      </c>
      <c r="Q6" s="7">
        <f>(Q5+'calcolo rata mutuo'!$G$27*12)*(1+Q$4)</f>
        <v>37119.600000000006</v>
      </c>
      <c r="R6" s="7">
        <f>(R5+'calcolo rata mutuo'!$G$27*12)*(1+R$4)</f>
        <v>37807</v>
      </c>
    </row>
    <row r="7" spans="1:18">
      <c r="A7" s="6">
        <f t="shared" ref="A7:A34" si="2">A6+1</f>
        <v>2</v>
      </c>
      <c r="B7" s="7">
        <f t="shared" ref="B7:B35" si="3">B6*(1+B$4)</f>
        <v>672.28</v>
      </c>
      <c r="C7" s="7">
        <f t="shared" ref="C7:C35" si="4">C6*(1+C$4)</f>
        <v>686.07</v>
      </c>
      <c r="D7" s="7">
        <f t="shared" ref="D7:D35" si="5">D6*(1+D$4)</f>
        <v>700</v>
      </c>
      <c r="E7" s="7">
        <f t="shared" ref="E7:E35" si="6">E6*(1+E$4)</f>
        <v>714.07</v>
      </c>
      <c r="F7" s="7">
        <f t="shared" ref="F7:F35" si="7">F6*(1+F$4)</f>
        <v>728.28</v>
      </c>
      <c r="G7" s="7">
        <f t="shared" ref="G7:G35" si="8">G6*(1+G$4)</f>
        <v>742.63</v>
      </c>
      <c r="H7" s="7">
        <f t="shared" ref="H7:H35" si="9">H6*(1+H$4)</f>
        <v>757.12</v>
      </c>
      <c r="I7" s="1"/>
      <c r="J7" s="20"/>
      <c r="K7" s="6">
        <f t="shared" ref="K7:K34" si="10">K6+1</f>
        <v>2</v>
      </c>
      <c r="L7" s="7">
        <f>(L6+'calcolo rata mutuo'!$G$27*12)*(1+L$4)</f>
        <v>33008.947999999997</v>
      </c>
      <c r="M7" s="7">
        <f>(M6+'calcolo rata mutuo'!$G$27*12)*(1+M$4)</f>
        <v>34370</v>
      </c>
      <c r="N7" s="7">
        <f>(N6+'calcolo rata mutuo'!$G$27*12)*(1+N$4)</f>
        <v>35758.548000000003</v>
      </c>
      <c r="O7" s="7">
        <f>(O6+'calcolo rata mutuo'!$G$27*12)*(1+O$4)</f>
        <v>37174.592000000004</v>
      </c>
      <c r="P7" s="7">
        <f>(P6+'calcolo rata mutuo'!$G$27*12)*(1+P$4)</f>
        <v>38618.132000000005</v>
      </c>
      <c r="Q7" s="7">
        <f>(Q6+'calcolo rata mutuo'!$G$27*12)*(1+Q$4)</f>
        <v>40089.168000000012</v>
      </c>
      <c r="R7" s="7">
        <f>(R6+'calcolo rata mutuo'!$G$27*12)*(1+R$4)</f>
        <v>41587.700000000004</v>
      </c>
    </row>
    <row r="8" spans="1:18">
      <c r="A8" s="6">
        <f t="shared" si="2"/>
        <v>3</v>
      </c>
      <c r="B8" s="7">
        <f t="shared" si="3"/>
        <v>658.83439999999996</v>
      </c>
      <c r="C8" s="7">
        <f t="shared" si="4"/>
        <v>679.2093000000001</v>
      </c>
      <c r="D8" s="7">
        <f t="shared" si="5"/>
        <v>700</v>
      </c>
      <c r="E8" s="7">
        <f t="shared" si="6"/>
        <v>721.21070000000009</v>
      </c>
      <c r="F8" s="7">
        <f t="shared" si="7"/>
        <v>742.84559999999999</v>
      </c>
      <c r="G8" s="7">
        <f t="shared" si="8"/>
        <v>764.90890000000002</v>
      </c>
      <c r="H8" s="7">
        <f t="shared" si="9"/>
        <v>787.40480000000002</v>
      </c>
      <c r="I8" s="1"/>
      <c r="J8" s="20"/>
      <c r="K8" s="6">
        <f t="shared" si="10"/>
        <v>3</v>
      </c>
      <c r="L8" s="7">
        <f>(L7+'calcolo rata mutuo'!$G$27*12)*(1+L$4)</f>
        <v>32348.769039999996</v>
      </c>
      <c r="M8" s="7">
        <f>(M7+'calcolo rata mutuo'!$G$27*12)*(1+M$4)</f>
        <v>34370</v>
      </c>
      <c r="N8" s="7">
        <f>(N7+'calcolo rata mutuo'!$G$27*12)*(1+N$4)</f>
        <v>36473.718960000006</v>
      </c>
      <c r="O8" s="7">
        <f>(O7+'calcolo rata mutuo'!$G$27*12)*(1+O$4)</f>
        <v>38661.575680000009</v>
      </c>
      <c r="P8" s="7">
        <f>(P7+'calcolo rata mutuo'!$G$27*12)*(1+P$4)</f>
        <v>40935.21992000001</v>
      </c>
      <c r="Q8" s="7">
        <f>(Q7+'calcolo rata mutuo'!$G$27*12)*(1+Q$4)</f>
        <v>43296.301440000017</v>
      </c>
      <c r="R8" s="7">
        <f>(R7+'calcolo rata mutuo'!$G$27*12)*(1+R$4)</f>
        <v>45746.470000000008</v>
      </c>
    </row>
    <row r="9" spans="1:18">
      <c r="A9" s="6">
        <f t="shared" si="2"/>
        <v>4</v>
      </c>
      <c r="B9" s="7">
        <f t="shared" si="3"/>
        <v>645.65771199999995</v>
      </c>
      <c r="C9" s="7">
        <f t="shared" si="4"/>
        <v>672.41720700000008</v>
      </c>
      <c r="D9" s="7">
        <f t="shared" si="5"/>
        <v>700</v>
      </c>
      <c r="E9" s="7">
        <f t="shared" si="6"/>
        <v>728.42280700000015</v>
      </c>
      <c r="F9" s="7">
        <f t="shared" si="7"/>
        <v>757.70251199999996</v>
      </c>
      <c r="G9" s="7">
        <f t="shared" si="8"/>
        <v>787.85616700000003</v>
      </c>
      <c r="H9" s="7">
        <f t="shared" si="9"/>
        <v>818.90099200000009</v>
      </c>
      <c r="I9" s="1"/>
      <c r="J9" s="20"/>
      <c r="K9" s="6">
        <f t="shared" si="10"/>
        <v>4</v>
      </c>
      <c r="L9" s="7">
        <f>(L8+'calcolo rata mutuo'!$G$27*12)*(1+L$4)</f>
        <v>31701.793659199997</v>
      </c>
      <c r="M9" s="7">
        <f>(M8+'calcolo rata mutuo'!$G$27*12)*(1+M$4)</f>
        <v>34370</v>
      </c>
      <c r="N9" s="7">
        <f>(N8+'calcolo rata mutuo'!$G$27*12)*(1+N$4)</f>
        <v>37203.193339200006</v>
      </c>
      <c r="O9" s="7">
        <f>(O8+'calcolo rata mutuo'!$G$27*12)*(1+O$4)</f>
        <v>40208.038707200009</v>
      </c>
      <c r="P9" s="7">
        <f>(P8+'calcolo rata mutuo'!$G$27*12)*(1+P$4)</f>
        <v>43391.33311520001</v>
      </c>
      <c r="Q9" s="7">
        <f>(Q8+'calcolo rata mutuo'!$G$27*12)*(1+Q$4)</f>
        <v>46760.005555200019</v>
      </c>
      <c r="R9" s="7">
        <f>(R8+'calcolo rata mutuo'!$G$27*12)*(1+R$4)</f>
        <v>50321.117000000013</v>
      </c>
    </row>
    <row r="10" spans="1:18">
      <c r="A10" s="6">
        <f t="shared" si="2"/>
        <v>5</v>
      </c>
      <c r="B10" s="7">
        <f t="shared" si="3"/>
        <v>632.74455775999991</v>
      </c>
      <c r="C10" s="7">
        <f t="shared" si="4"/>
        <v>665.69303493000007</v>
      </c>
      <c r="D10" s="7">
        <f t="shared" si="5"/>
        <v>700</v>
      </c>
      <c r="E10" s="7">
        <f t="shared" si="6"/>
        <v>735.70703507000019</v>
      </c>
      <c r="F10" s="7">
        <f t="shared" si="7"/>
        <v>772.85656224000002</v>
      </c>
      <c r="G10" s="7">
        <f t="shared" si="8"/>
        <v>811.49185201</v>
      </c>
      <c r="H10" s="7">
        <f t="shared" si="9"/>
        <v>851.65703168000016</v>
      </c>
      <c r="I10" s="1"/>
      <c r="J10" s="20"/>
      <c r="K10" s="6">
        <f t="shared" si="10"/>
        <v>5</v>
      </c>
      <c r="L10" s="7">
        <f>(L9+'calcolo rata mutuo'!$G$27*12)*(1+L$4)</f>
        <v>31067.757786015998</v>
      </c>
      <c r="M10" s="7">
        <f>(M9+'calcolo rata mutuo'!$G$27*12)*(1+M$4)</f>
        <v>34370</v>
      </c>
      <c r="N10" s="7">
        <f>(N9+'calcolo rata mutuo'!$G$27*12)*(1+N$4)</f>
        <v>37947.257205984009</v>
      </c>
      <c r="O10" s="7">
        <f>(O9+'calcolo rata mutuo'!$G$27*12)*(1+O$4)</f>
        <v>41816.360255488013</v>
      </c>
      <c r="P10" s="7">
        <f>(P9+'calcolo rata mutuo'!$G$27*12)*(1+P$4)</f>
        <v>45994.813102112013</v>
      </c>
      <c r="Q10" s="7">
        <f>(Q9+'calcolo rata mutuo'!$G$27*12)*(1+Q$4)</f>
        <v>50500.805999616023</v>
      </c>
      <c r="R10" s="7">
        <f>(R9+'calcolo rata mutuo'!$G$27*12)*(1+R$4)</f>
        <v>55353.228700000021</v>
      </c>
    </row>
    <row r="11" spans="1:18">
      <c r="A11" s="6">
        <f t="shared" si="2"/>
        <v>6</v>
      </c>
      <c r="B11" s="7">
        <f t="shared" si="3"/>
        <v>620.08966660479985</v>
      </c>
      <c r="C11" s="7">
        <f t="shared" si="4"/>
        <v>659.03610458070011</v>
      </c>
      <c r="D11" s="7">
        <f t="shared" si="5"/>
        <v>700</v>
      </c>
      <c r="E11" s="7">
        <f t="shared" si="6"/>
        <v>743.06410542070023</v>
      </c>
      <c r="F11" s="7">
        <f t="shared" si="7"/>
        <v>788.31369348480007</v>
      </c>
      <c r="G11" s="7">
        <f t="shared" si="8"/>
        <v>835.83660757029998</v>
      </c>
      <c r="H11" s="7">
        <f t="shared" si="9"/>
        <v>885.72331294720016</v>
      </c>
      <c r="I11" s="1"/>
      <c r="J11" s="20"/>
      <c r="K11" s="6">
        <f t="shared" si="10"/>
        <v>6</v>
      </c>
      <c r="L11" s="7">
        <f>(L10+'calcolo rata mutuo'!$G$27*12)*(1+L$4)</f>
        <v>30446.402630295677</v>
      </c>
      <c r="M11" s="7">
        <f>(M10+'calcolo rata mutuo'!$G$27*12)*(1+M$4)</f>
        <v>34370</v>
      </c>
      <c r="N11" s="7">
        <f>(N10+'calcolo rata mutuo'!$G$27*12)*(1+N$4)</f>
        <v>38706.202350103689</v>
      </c>
      <c r="O11" s="7">
        <f>(O10+'calcolo rata mutuo'!$G$27*12)*(1+O$4)</f>
        <v>43489.014665707531</v>
      </c>
      <c r="P11" s="7">
        <f>(P10+'calcolo rata mutuo'!$G$27*12)*(1+P$4)</f>
        <v>48754.501888238738</v>
      </c>
      <c r="Q11" s="7">
        <f>(Q10+'calcolo rata mutuo'!$G$27*12)*(1+Q$4)</f>
        <v>54540.870479585305</v>
      </c>
      <c r="R11" s="7">
        <f>(R10+'calcolo rata mutuo'!$G$27*12)*(1+R$4)</f>
        <v>60888.551570000025</v>
      </c>
    </row>
    <row r="12" spans="1:18">
      <c r="A12" s="6">
        <f t="shared" si="2"/>
        <v>7</v>
      </c>
      <c r="B12" s="7">
        <f t="shared" si="3"/>
        <v>607.68787327270388</v>
      </c>
      <c r="C12" s="7">
        <f t="shared" si="4"/>
        <v>652.44574353489315</v>
      </c>
      <c r="D12" s="7">
        <f t="shared" si="5"/>
        <v>700</v>
      </c>
      <c r="E12" s="7">
        <f t="shared" si="6"/>
        <v>750.49474647490729</v>
      </c>
      <c r="F12" s="7">
        <f t="shared" si="7"/>
        <v>804.07996735449603</v>
      </c>
      <c r="G12" s="7">
        <f t="shared" si="8"/>
        <v>860.91170579740901</v>
      </c>
      <c r="H12" s="7">
        <f t="shared" si="9"/>
        <v>921.15224546508819</v>
      </c>
      <c r="I12" s="1"/>
      <c r="J12" s="20"/>
      <c r="K12" s="6">
        <f t="shared" si="10"/>
        <v>7</v>
      </c>
      <c r="L12" s="7">
        <f>(L11+'calcolo rata mutuo'!$G$27*12)*(1+L$4)</f>
        <v>29837.474577689762</v>
      </c>
      <c r="M12" s="7">
        <f>(M11+'calcolo rata mutuo'!$G$27*12)*(1+M$4)</f>
        <v>34370</v>
      </c>
      <c r="N12" s="7">
        <f>(N11+'calcolo rata mutuo'!$G$27*12)*(1+N$4)</f>
        <v>39480.32639710576</v>
      </c>
      <c r="O12" s="7">
        <f>(O11+'calcolo rata mutuo'!$G$27*12)*(1+O$4)</f>
        <v>45228.575252335831</v>
      </c>
      <c r="P12" s="7">
        <f>(P11+'calcolo rata mutuo'!$G$27*12)*(1+P$4)</f>
        <v>51679.772001533063</v>
      </c>
      <c r="Q12" s="7">
        <f>(Q11+'calcolo rata mutuo'!$G$27*12)*(1+Q$4)</f>
        <v>58904.140117952134</v>
      </c>
      <c r="R12" s="7">
        <f>(R11+'calcolo rata mutuo'!$G$27*12)*(1+R$4)</f>
        <v>66977.406727000038</v>
      </c>
    </row>
    <row r="13" spans="1:18">
      <c r="A13" s="6">
        <f t="shared" si="2"/>
        <v>8</v>
      </c>
      <c r="B13" s="7">
        <f t="shared" si="3"/>
        <v>595.5341158072498</v>
      </c>
      <c r="C13" s="7">
        <f t="shared" si="4"/>
        <v>645.9212860995442</v>
      </c>
      <c r="D13" s="7">
        <f t="shared" si="5"/>
        <v>700</v>
      </c>
      <c r="E13" s="7">
        <f t="shared" si="6"/>
        <v>757.99969393965637</v>
      </c>
      <c r="F13" s="7">
        <f t="shared" si="7"/>
        <v>820.16156670158603</v>
      </c>
      <c r="G13" s="7">
        <f t="shared" si="8"/>
        <v>886.73905697133125</v>
      </c>
      <c r="H13" s="7">
        <f t="shared" si="9"/>
        <v>957.99833528369174</v>
      </c>
      <c r="I13" s="1"/>
      <c r="J13" s="20"/>
      <c r="K13" s="6">
        <f t="shared" si="10"/>
        <v>8</v>
      </c>
      <c r="L13" s="7">
        <f>(L12+'calcolo rata mutuo'!$G$27*12)*(1+L$4)</f>
        <v>29240.725086135964</v>
      </c>
      <c r="M13" s="7">
        <f>(M12+'calcolo rata mutuo'!$G$27*12)*(1+M$4)</f>
        <v>34370</v>
      </c>
      <c r="N13" s="7">
        <f>(N12+'calcolo rata mutuo'!$G$27*12)*(1+N$4)</f>
        <v>40269.932925047877</v>
      </c>
      <c r="O13" s="7">
        <f>(O12+'calcolo rata mutuo'!$G$27*12)*(1+O$4)</f>
        <v>47037.718262429269</v>
      </c>
      <c r="P13" s="7">
        <f>(P12+'calcolo rata mutuo'!$G$27*12)*(1+P$4)</f>
        <v>54780.558321625052</v>
      </c>
      <c r="Q13" s="7">
        <f>(Q12+'calcolo rata mutuo'!$G$27*12)*(1+Q$4)</f>
        <v>63616.47132738831</v>
      </c>
      <c r="R13" s="7">
        <f>(R12+'calcolo rata mutuo'!$G$27*12)*(1+R$4)</f>
        <v>73675.147399700043</v>
      </c>
    </row>
    <row r="14" spans="1:18">
      <c r="A14" s="6">
        <f t="shared" si="2"/>
        <v>9</v>
      </c>
      <c r="B14" s="7">
        <f t="shared" si="3"/>
        <v>583.62343349110483</v>
      </c>
      <c r="C14" s="7">
        <f t="shared" si="4"/>
        <v>639.46207323854878</v>
      </c>
      <c r="D14" s="7">
        <f t="shared" si="5"/>
        <v>700</v>
      </c>
      <c r="E14" s="7">
        <f t="shared" si="6"/>
        <v>765.57969087905292</v>
      </c>
      <c r="F14" s="7">
        <f t="shared" si="7"/>
        <v>836.56479803561774</v>
      </c>
      <c r="G14" s="7">
        <f t="shared" si="8"/>
        <v>913.3412286804712</v>
      </c>
      <c r="H14" s="7">
        <f t="shared" si="9"/>
        <v>996.31826869503948</v>
      </c>
      <c r="I14" s="1"/>
      <c r="J14" s="20"/>
      <c r="K14" s="6">
        <f t="shared" si="10"/>
        <v>9</v>
      </c>
      <c r="L14" s="7">
        <f>(L13+'calcolo rata mutuo'!$G$27*12)*(1+L$4)</f>
        <v>28655.910584413243</v>
      </c>
      <c r="M14" s="7">
        <f>(M13+'calcolo rata mutuo'!$G$27*12)*(1+M$4)</f>
        <v>34370</v>
      </c>
      <c r="N14" s="7">
        <f>(N13+'calcolo rata mutuo'!$G$27*12)*(1+N$4)</f>
        <v>41075.331583548832</v>
      </c>
      <c r="O14" s="7">
        <f>(O13+'calcolo rata mutuo'!$G$27*12)*(1+O$4)</f>
        <v>48919.226992926444</v>
      </c>
      <c r="P14" s="7">
        <f>(P13+'calcolo rata mutuo'!$G$27*12)*(1+P$4)</f>
        <v>58067.391820922559</v>
      </c>
      <c r="Q14" s="7">
        <f>(Q13+'calcolo rata mutuo'!$G$27*12)*(1+Q$4)</f>
        <v>68705.789033579378</v>
      </c>
      <c r="R14" s="7">
        <f>(R13+'calcolo rata mutuo'!$G$27*12)*(1+R$4)</f>
        <v>81042.66213967005</v>
      </c>
    </row>
    <row r="15" spans="1:18">
      <c r="A15" s="6">
        <f t="shared" si="2"/>
        <v>10</v>
      </c>
      <c r="B15" s="7">
        <f t="shared" si="3"/>
        <v>571.9509648212827</v>
      </c>
      <c r="C15" s="7">
        <f t="shared" si="4"/>
        <v>633.06745250616325</v>
      </c>
      <c r="D15" s="7">
        <f t="shared" si="5"/>
        <v>700</v>
      </c>
      <c r="E15" s="7">
        <f t="shared" si="6"/>
        <v>773.23548778784345</v>
      </c>
      <c r="F15" s="7">
        <f t="shared" si="7"/>
        <v>853.29609399633011</v>
      </c>
      <c r="G15" s="7">
        <f t="shared" si="8"/>
        <v>940.74146554088532</v>
      </c>
      <c r="H15" s="7">
        <f t="shared" si="9"/>
        <v>1036.1709994428411</v>
      </c>
      <c r="I15" s="1"/>
      <c r="J15" s="20"/>
      <c r="K15" s="6">
        <f t="shared" si="10"/>
        <v>10</v>
      </c>
      <c r="L15" s="7">
        <f>(L14+'calcolo rata mutuo'!$G$27*12)*(1+L$4)</f>
        <v>28082.792372724976</v>
      </c>
      <c r="M15" s="7">
        <f>(M14+'calcolo rata mutuo'!$G$27*12)*(1+M$4)</f>
        <v>34370</v>
      </c>
      <c r="N15" s="7">
        <f>(N14+'calcolo rata mutuo'!$G$27*12)*(1+N$4)</f>
        <v>41896.83821521981</v>
      </c>
      <c r="O15" s="7">
        <f>(O14+'calcolo rata mutuo'!$G$27*12)*(1+O$4)</f>
        <v>50875.996072643502</v>
      </c>
      <c r="P15" s="7">
        <f>(P14+'calcolo rata mutuo'!$G$27*12)*(1+P$4)</f>
        <v>61551.435330177919</v>
      </c>
      <c r="Q15" s="7">
        <f>(Q14+'calcolo rata mutuo'!$G$27*12)*(1+Q$4)</f>
        <v>74202.252156265735</v>
      </c>
      <c r="R15" s="7">
        <f>(R14+'calcolo rata mutuo'!$G$27*12)*(1+R$4)</f>
        <v>89146.928353637064</v>
      </c>
    </row>
    <row r="16" spans="1:18">
      <c r="A16" s="6">
        <f t="shared" si="2"/>
        <v>11</v>
      </c>
      <c r="B16" s="7">
        <f t="shared" si="3"/>
        <v>560.51194552485708</v>
      </c>
      <c r="C16" s="7">
        <f t="shared" si="4"/>
        <v>626.73677798110157</v>
      </c>
      <c r="D16" s="7">
        <f t="shared" si="5"/>
        <v>700</v>
      </c>
      <c r="E16" s="7">
        <f t="shared" si="6"/>
        <v>780.96784266572195</v>
      </c>
      <c r="F16" s="7">
        <f t="shared" si="7"/>
        <v>870.36201587625669</v>
      </c>
      <c r="G16" s="7">
        <f t="shared" si="8"/>
        <v>968.96370950711184</v>
      </c>
      <c r="H16" s="7">
        <f t="shared" si="9"/>
        <v>1077.6178394205547</v>
      </c>
      <c r="I16" s="1"/>
      <c r="J16" s="20"/>
      <c r="K16" s="6">
        <f t="shared" si="10"/>
        <v>11</v>
      </c>
      <c r="L16" s="7">
        <f>(L15+'calcolo rata mutuo'!$G$27*12)*(1+L$4)</f>
        <v>27521.136525270475</v>
      </c>
      <c r="M16" s="7">
        <f>(M15+'calcolo rata mutuo'!$G$27*12)*(1+M$4)</f>
        <v>34370</v>
      </c>
      <c r="N16" s="7">
        <f>(N15+'calcolo rata mutuo'!$G$27*12)*(1+N$4)</f>
        <v>42734.774979524205</v>
      </c>
      <c r="O16" s="7">
        <f>(O15+'calcolo rata mutuo'!$G$27*12)*(1+O$4)</f>
        <v>52911.035915549241</v>
      </c>
      <c r="P16" s="7">
        <f>(P15+'calcolo rata mutuo'!$G$27*12)*(1+P$4)</f>
        <v>65244.521449988599</v>
      </c>
      <c r="Q16" s="7">
        <f>(Q15+'calcolo rata mutuo'!$G$27*12)*(1+Q$4)</f>
        <v>80138.432328766998</v>
      </c>
      <c r="R16" s="7">
        <f>(R15+'calcolo rata mutuo'!$G$27*12)*(1+R$4)</f>
        <v>98061.621189000783</v>
      </c>
    </row>
    <row r="17" spans="1:18">
      <c r="A17" s="6">
        <f t="shared" si="2"/>
        <v>12</v>
      </c>
      <c r="B17" s="7">
        <f t="shared" si="3"/>
        <v>549.30170661435989</v>
      </c>
      <c r="C17" s="7">
        <f t="shared" si="4"/>
        <v>620.46941020129054</v>
      </c>
      <c r="D17" s="7">
        <f t="shared" si="5"/>
        <v>700</v>
      </c>
      <c r="E17" s="7">
        <f t="shared" si="6"/>
        <v>788.77752109237917</v>
      </c>
      <c r="F17" s="7">
        <f t="shared" si="7"/>
        <v>887.76925619378187</v>
      </c>
      <c r="G17" s="7">
        <f t="shared" si="8"/>
        <v>998.03262079232525</v>
      </c>
      <c r="H17" s="7">
        <f t="shared" si="9"/>
        <v>1120.7225529973769</v>
      </c>
      <c r="I17" s="1"/>
      <c r="J17" s="20"/>
      <c r="K17" s="6">
        <f t="shared" si="10"/>
        <v>12</v>
      </c>
      <c r="L17" s="7">
        <f>(L16+'calcolo rata mutuo'!$G$27*12)*(1+L$4)</f>
        <v>26970.713794765066</v>
      </c>
      <c r="M17" s="7">
        <f>(M16+'calcolo rata mutuo'!$G$27*12)*(1+M$4)</f>
        <v>34370</v>
      </c>
      <c r="N17" s="7">
        <f>(N16+'calcolo rata mutuo'!$G$27*12)*(1+N$4)</f>
        <v>43589.470479114687</v>
      </c>
      <c r="O17" s="7">
        <f>(O16+'calcolo rata mutuo'!$G$27*12)*(1+O$4)</f>
        <v>55027.477352171212</v>
      </c>
      <c r="P17" s="7">
        <f>(P16+'calcolo rata mutuo'!$G$27*12)*(1+P$4)</f>
        <v>69159.192736987912</v>
      </c>
      <c r="Q17" s="7">
        <f>(Q16+'calcolo rata mutuo'!$G$27*12)*(1+Q$4)</f>
        <v>86549.50691506837</v>
      </c>
      <c r="R17" s="7">
        <f>(R16+'calcolo rata mutuo'!$G$27*12)*(1+R$4)</f>
        <v>107867.78330790087</v>
      </c>
    </row>
    <row r="18" spans="1:18">
      <c r="A18" s="6">
        <f t="shared" si="2"/>
        <v>13</v>
      </c>
      <c r="B18" s="7">
        <f t="shared" si="3"/>
        <v>538.31567248207273</v>
      </c>
      <c r="C18" s="7">
        <f t="shared" si="4"/>
        <v>614.26471609927762</v>
      </c>
      <c r="D18" s="7">
        <f t="shared" si="5"/>
        <v>700</v>
      </c>
      <c r="E18" s="7">
        <f t="shared" si="6"/>
        <v>796.66529630330297</v>
      </c>
      <c r="F18" s="7">
        <f t="shared" si="7"/>
        <v>905.52464131765748</v>
      </c>
      <c r="G18" s="7">
        <f t="shared" si="8"/>
        <v>1027.9735994160951</v>
      </c>
      <c r="H18" s="7">
        <f t="shared" si="9"/>
        <v>1165.5514551172719</v>
      </c>
      <c r="I18" s="1"/>
      <c r="J18" s="20"/>
      <c r="K18" s="6">
        <f t="shared" si="10"/>
        <v>13</v>
      </c>
      <c r="L18" s="7">
        <f>(L17+'calcolo rata mutuo'!$G$27*12)*(1+L$4)</f>
        <v>26431.299518869764</v>
      </c>
      <c r="M18" s="7">
        <f>(M17+'calcolo rata mutuo'!$G$27*12)*(1+M$4)</f>
        <v>34370</v>
      </c>
      <c r="N18" s="7">
        <f>(N17+'calcolo rata mutuo'!$G$27*12)*(1+N$4)</f>
        <v>44461.259888696979</v>
      </c>
      <c r="O18" s="7">
        <f>(O17+'calcolo rata mutuo'!$G$27*12)*(1+O$4)</f>
        <v>57228.576446258063</v>
      </c>
      <c r="P18" s="7">
        <f>(P17+'calcolo rata mutuo'!$G$27*12)*(1+P$4)</f>
        <v>73308.744301207189</v>
      </c>
      <c r="Q18" s="7">
        <f>(Q17+'calcolo rata mutuo'!$G$27*12)*(1+Q$4)</f>
        <v>93473.46746827384</v>
      </c>
      <c r="R18" s="7">
        <f>(R17+'calcolo rata mutuo'!$G$27*12)*(1+R$4)</f>
        <v>118654.56163869097</v>
      </c>
    </row>
    <row r="19" spans="1:18">
      <c r="A19" s="6">
        <f t="shared" si="2"/>
        <v>14</v>
      </c>
      <c r="B19" s="7">
        <f t="shared" si="3"/>
        <v>527.54935903243131</v>
      </c>
      <c r="C19" s="7">
        <f t="shared" si="4"/>
        <v>608.12206893828488</v>
      </c>
      <c r="D19" s="7">
        <f t="shared" si="5"/>
        <v>700</v>
      </c>
      <c r="E19" s="7">
        <f t="shared" si="6"/>
        <v>804.63194926633605</v>
      </c>
      <c r="F19" s="7">
        <f t="shared" si="7"/>
        <v>923.63513414401064</v>
      </c>
      <c r="G19" s="7">
        <f t="shared" si="8"/>
        <v>1058.8128073985779</v>
      </c>
      <c r="H19" s="7">
        <f t="shared" si="9"/>
        <v>1212.1735133219629</v>
      </c>
      <c r="I19" s="1"/>
      <c r="J19" s="20"/>
      <c r="K19" s="6">
        <f t="shared" si="10"/>
        <v>14</v>
      </c>
      <c r="L19" s="7">
        <f>(L18+'calcolo rata mutuo'!$G$27*12)*(1+L$4)</f>
        <v>25902.673528492367</v>
      </c>
      <c r="M19" s="7">
        <f>(M18+'calcolo rata mutuo'!$G$27*12)*(1+M$4)</f>
        <v>34370</v>
      </c>
      <c r="N19" s="7">
        <f>(N18+'calcolo rata mutuo'!$G$27*12)*(1+N$4)</f>
        <v>45350.485086470922</v>
      </c>
      <c r="O19" s="7">
        <f>(O18+'calcolo rata mutuo'!$G$27*12)*(1+O$4)</f>
        <v>59517.719504108391</v>
      </c>
      <c r="P19" s="7">
        <f>(P18+'calcolo rata mutuo'!$G$27*12)*(1+P$4)</f>
        <v>77707.268959279623</v>
      </c>
      <c r="Q19" s="7">
        <f>(Q18+'calcolo rata mutuo'!$G$27*12)*(1+Q$4)</f>
        <v>100951.34486573575</v>
      </c>
      <c r="R19" s="7">
        <f>(R18+'calcolo rata mutuo'!$G$27*12)*(1+R$4)</f>
        <v>130520.01780256008</v>
      </c>
    </row>
    <row r="20" spans="1:18">
      <c r="A20" s="6">
        <f t="shared" si="2"/>
        <v>15</v>
      </c>
      <c r="B20" s="7">
        <f t="shared" si="3"/>
        <v>516.99837185178262</v>
      </c>
      <c r="C20" s="7">
        <f t="shared" si="4"/>
        <v>602.04084824890208</v>
      </c>
      <c r="D20" s="7">
        <f t="shared" si="5"/>
        <v>700</v>
      </c>
      <c r="E20" s="7">
        <f t="shared" si="6"/>
        <v>812.67826875899937</v>
      </c>
      <c r="F20" s="7">
        <f t="shared" si="7"/>
        <v>942.10783682689089</v>
      </c>
      <c r="G20" s="7">
        <f t="shared" si="8"/>
        <v>1090.5771916205354</v>
      </c>
      <c r="H20" s="7">
        <f t="shared" si="9"/>
        <v>1260.6604538548415</v>
      </c>
      <c r="I20" s="1"/>
      <c r="J20" s="20"/>
      <c r="K20" s="6">
        <f t="shared" si="10"/>
        <v>15</v>
      </c>
      <c r="L20" s="7">
        <f>(L19+'calcolo rata mutuo'!$G$27*12)*(1+L$4)</f>
        <v>25384.620057922519</v>
      </c>
      <c r="M20" s="7">
        <f>(M19+'calcolo rata mutuo'!$G$27*12)*(1+M$4)</f>
        <v>34370</v>
      </c>
      <c r="N20" s="7">
        <f>(N19+'calcolo rata mutuo'!$G$27*12)*(1+N$4)</f>
        <v>46257.49478820034</v>
      </c>
      <c r="O20" s="7">
        <f>(O19+'calcolo rata mutuo'!$G$27*12)*(1+O$4)</f>
        <v>61898.428284272726</v>
      </c>
      <c r="P20" s="7">
        <f>(P19+'calcolo rata mutuo'!$G$27*12)*(1+P$4)</f>
        <v>82369.705096836406</v>
      </c>
      <c r="Q20" s="7">
        <f>(Q19+'calcolo rata mutuo'!$G$27*12)*(1+Q$4)</f>
        <v>109027.45245499462</v>
      </c>
      <c r="R20" s="7">
        <f>(R19+'calcolo rata mutuo'!$G$27*12)*(1+R$4)</f>
        <v>143572.01958281611</v>
      </c>
    </row>
    <row r="21" spans="1:18">
      <c r="A21" s="6">
        <f t="shared" si="2"/>
        <v>16</v>
      </c>
      <c r="B21" s="7">
        <f t="shared" si="3"/>
        <v>506.65840441474694</v>
      </c>
      <c r="C21" s="7">
        <f t="shared" si="4"/>
        <v>596.02043976641301</v>
      </c>
      <c r="D21" s="7">
        <f t="shared" si="5"/>
        <v>700</v>
      </c>
      <c r="E21" s="7">
        <f t="shared" si="6"/>
        <v>820.80505144658935</v>
      </c>
      <c r="F21" s="7">
        <f t="shared" si="7"/>
        <v>960.94999356342873</v>
      </c>
      <c r="G21" s="7">
        <f t="shared" si="8"/>
        <v>1123.2945073691515</v>
      </c>
      <c r="H21" s="7">
        <f t="shared" si="9"/>
        <v>1311.0868720090352</v>
      </c>
      <c r="I21" s="1"/>
      <c r="J21" s="20"/>
      <c r="K21" s="6">
        <f t="shared" si="10"/>
        <v>16</v>
      </c>
      <c r="L21" s="7">
        <f>(L20+'calcolo rata mutuo'!$G$27*12)*(1+L$4)</f>
        <v>24876.927656764066</v>
      </c>
      <c r="M21" s="7">
        <f>(M20+'calcolo rata mutuo'!$G$27*12)*(1+M$4)</f>
        <v>34370</v>
      </c>
      <c r="N21" s="7">
        <f>(N20+'calcolo rata mutuo'!$G$27*12)*(1+N$4)</f>
        <v>47182.644683964347</v>
      </c>
      <c r="O21" s="7">
        <f>(O20+'calcolo rata mutuo'!$G$27*12)*(1+O$4)</f>
        <v>64374.365415643639</v>
      </c>
      <c r="P21" s="7">
        <f>(P20+'calcolo rata mutuo'!$G$27*12)*(1+P$4)</f>
        <v>87311.887402646593</v>
      </c>
      <c r="Q21" s="7">
        <f>(Q20+'calcolo rata mutuo'!$G$27*12)*(1+Q$4)</f>
        <v>117749.64865139419</v>
      </c>
      <c r="R21" s="7">
        <f>(R20+'calcolo rata mutuo'!$G$27*12)*(1+R$4)</f>
        <v>157929.22154109774</v>
      </c>
    </row>
    <row r="22" spans="1:18">
      <c r="A22" s="6">
        <f t="shared" si="2"/>
        <v>17</v>
      </c>
      <c r="B22" s="7">
        <f t="shared" si="3"/>
        <v>496.52523632645199</v>
      </c>
      <c r="C22" s="7">
        <f t="shared" si="4"/>
        <v>590.06023536874886</v>
      </c>
      <c r="D22" s="7">
        <f t="shared" si="5"/>
        <v>700</v>
      </c>
      <c r="E22" s="7">
        <f t="shared" si="6"/>
        <v>829.01310196105521</v>
      </c>
      <c r="F22" s="7">
        <f t="shared" si="7"/>
        <v>980.16899343469731</v>
      </c>
      <c r="G22" s="7">
        <f t="shared" si="8"/>
        <v>1156.9933425902261</v>
      </c>
      <c r="H22" s="7">
        <f t="shared" si="9"/>
        <v>1363.5303468893967</v>
      </c>
      <c r="I22" s="1"/>
      <c r="J22" s="20"/>
      <c r="K22" s="6">
        <f t="shared" si="10"/>
        <v>17</v>
      </c>
      <c r="L22" s="7">
        <f>(L21+'calcolo rata mutuo'!$G$27*12)*(1+L$4)</f>
        <v>24379.389103628786</v>
      </c>
      <c r="M22" s="7">
        <f>(M21+'calcolo rata mutuo'!$G$27*12)*(1+M$4)</f>
        <v>34370</v>
      </c>
      <c r="N22" s="7">
        <f>(N21+'calcolo rata mutuo'!$G$27*12)*(1+N$4)</f>
        <v>48126.297577643636</v>
      </c>
      <c r="O22" s="7">
        <f>(O21+'calcolo rata mutuo'!$G$27*12)*(1+O$4)</f>
        <v>66949.340032269392</v>
      </c>
      <c r="P22" s="7">
        <f>(P21+'calcolo rata mutuo'!$G$27*12)*(1+P$4)</f>
        <v>92550.600646805397</v>
      </c>
      <c r="Q22" s="7">
        <f>(Q21+'calcolo rata mutuo'!$G$27*12)*(1+Q$4)</f>
        <v>127169.62054350573</v>
      </c>
      <c r="R22" s="7">
        <f>(R21+'calcolo rata mutuo'!$G$27*12)*(1+R$4)</f>
        <v>173722.14369520752</v>
      </c>
    </row>
    <row r="23" spans="1:18">
      <c r="A23" s="6">
        <f t="shared" si="2"/>
        <v>18</v>
      </c>
      <c r="B23" s="7">
        <f t="shared" si="3"/>
        <v>486.59473159992297</v>
      </c>
      <c r="C23" s="7">
        <f t="shared" si="4"/>
        <v>584.15963301506133</v>
      </c>
      <c r="D23" s="7">
        <f t="shared" si="5"/>
        <v>700</v>
      </c>
      <c r="E23" s="7">
        <f t="shared" si="6"/>
        <v>837.30323298066583</v>
      </c>
      <c r="F23" s="7">
        <f t="shared" si="7"/>
        <v>999.7723733033913</v>
      </c>
      <c r="G23" s="7">
        <f t="shared" si="8"/>
        <v>1191.7031428679329</v>
      </c>
      <c r="H23" s="7">
        <f t="shared" si="9"/>
        <v>1418.0715607649727</v>
      </c>
      <c r="I23" s="1"/>
      <c r="J23" s="20"/>
      <c r="K23" s="6">
        <f t="shared" si="10"/>
        <v>18</v>
      </c>
      <c r="L23" s="7">
        <f>(L22+'calcolo rata mutuo'!$G$27*12)*(1+L$4)</f>
        <v>23891.80132155621</v>
      </c>
      <c r="M23" s="7">
        <f>(M22+'calcolo rata mutuo'!$G$27*12)*(1+M$4)</f>
        <v>34370</v>
      </c>
      <c r="N23" s="7">
        <f>(N22+'calcolo rata mutuo'!$G$27*12)*(1+N$4)</f>
        <v>49088.82352919651</v>
      </c>
      <c r="O23" s="7">
        <f>(O22+'calcolo rata mutuo'!$G$27*12)*(1+O$4)</f>
        <v>69627.313633560174</v>
      </c>
      <c r="P23" s="7">
        <f>(P22+'calcolo rata mutuo'!$G$27*12)*(1+P$4)</f>
        <v>98103.636685613732</v>
      </c>
      <c r="Q23" s="7">
        <f>(Q22+'calcolo rata mutuo'!$G$27*12)*(1+Q$4)</f>
        <v>137343.1901869862</v>
      </c>
      <c r="R23" s="7">
        <f>(R22+'calcolo rata mutuo'!$G$27*12)*(1+R$4)</f>
        <v>191094.35806472829</v>
      </c>
    </row>
    <row r="24" spans="1:18">
      <c r="A24" s="6">
        <f t="shared" si="2"/>
        <v>19</v>
      </c>
      <c r="B24" s="7">
        <f t="shared" si="3"/>
        <v>476.86283696792452</v>
      </c>
      <c r="C24" s="7">
        <f t="shared" si="4"/>
        <v>578.31803668491068</v>
      </c>
      <c r="D24" s="7">
        <f t="shared" si="5"/>
        <v>700</v>
      </c>
      <c r="E24" s="7">
        <f t="shared" si="6"/>
        <v>845.67626531047244</v>
      </c>
      <c r="F24" s="7">
        <f t="shared" si="7"/>
        <v>1019.7678207694591</v>
      </c>
      <c r="G24" s="7">
        <f t="shared" si="8"/>
        <v>1227.454237153971</v>
      </c>
      <c r="H24" s="7">
        <f t="shared" si="9"/>
        <v>1474.7944231955717</v>
      </c>
      <c r="I24" s="1"/>
      <c r="J24" s="20"/>
      <c r="K24" s="6">
        <f t="shared" si="10"/>
        <v>19</v>
      </c>
      <c r="L24" s="7">
        <f>(L23+'calcolo rata mutuo'!$G$27*12)*(1+L$4)</f>
        <v>23413.965295125086</v>
      </c>
      <c r="M24" s="7">
        <f>(M23+'calcolo rata mutuo'!$G$27*12)*(1+M$4)</f>
        <v>34370</v>
      </c>
      <c r="N24" s="7">
        <f>(N23+'calcolo rata mutuo'!$G$27*12)*(1+N$4)</f>
        <v>50070.599999780439</v>
      </c>
      <c r="O24" s="7">
        <f>(O23+'calcolo rata mutuo'!$G$27*12)*(1+O$4)</f>
        <v>72412.406178902587</v>
      </c>
      <c r="P24" s="7">
        <f>(P23+'calcolo rata mutuo'!$G$27*12)*(1+P$4)</f>
        <v>103989.85488675056</v>
      </c>
      <c r="Q24" s="7">
        <f>(Q23+'calcolo rata mutuo'!$G$27*12)*(1+Q$4)</f>
        <v>148330.6454019451</v>
      </c>
      <c r="R24" s="7">
        <f>(R23+'calcolo rata mutuo'!$G$27*12)*(1+R$4)</f>
        <v>210203.79387120114</v>
      </c>
    </row>
    <row r="25" spans="1:18">
      <c r="A25" s="6">
        <f t="shared" si="2"/>
        <v>20</v>
      </c>
      <c r="B25" s="7">
        <f t="shared" si="3"/>
        <v>467.32558022856603</v>
      </c>
      <c r="C25" s="7">
        <f t="shared" si="4"/>
        <v>572.53485631806154</v>
      </c>
      <c r="D25" s="7">
        <f t="shared" si="5"/>
        <v>700</v>
      </c>
      <c r="E25" s="7">
        <f t="shared" si="6"/>
        <v>854.13302796357721</v>
      </c>
      <c r="F25" s="7">
        <f t="shared" si="7"/>
        <v>1040.1631771848483</v>
      </c>
      <c r="G25" s="7">
        <f t="shared" si="8"/>
        <v>1264.2778642685901</v>
      </c>
      <c r="H25" s="7">
        <f t="shared" si="9"/>
        <v>1533.7862001233946</v>
      </c>
      <c r="I25" s="1"/>
      <c r="J25" s="20"/>
      <c r="K25" s="6">
        <f t="shared" si="10"/>
        <v>20</v>
      </c>
      <c r="L25" s="7">
        <f>(L24+'calcolo rata mutuo'!$G$27*12)*(1+L$4)</f>
        <v>22945.685989222584</v>
      </c>
      <c r="M25" s="7">
        <f>(M24+'calcolo rata mutuo'!$G$27*12)*(1+M$4)</f>
        <v>34370</v>
      </c>
      <c r="N25" s="7">
        <f>(N24+'calcolo rata mutuo'!$G$27*12)*(1+N$4)</f>
        <v>51072.011999776048</v>
      </c>
      <c r="O25" s="7">
        <f>(O24+'calcolo rata mutuo'!$G$27*12)*(1+O$4)</f>
        <v>75308.902426058688</v>
      </c>
      <c r="P25" s="7">
        <f>(P24+'calcolo rata mutuo'!$G$27*12)*(1+P$4)</f>
        <v>110229.2461799556</v>
      </c>
      <c r="Q25" s="7">
        <f>(Q24+'calcolo rata mutuo'!$G$27*12)*(1+Q$4)</f>
        <v>160197.09703410073</v>
      </c>
      <c r="R25" s="7">
        <f>(R24+'calcolo rata mutuo'!$G$27*12)*(1+R$4)</f>
        <v>231224.17325832127</v>
      </c>
    </row>
    <row r="26" spans="1:18">
      <c r="A26" s="6">
        <f t="shared" si="2"/>
        <v>21</v>
      </c>
      <c r="B26" s="7">
        <f t="shared" si="3"/>
        <v>457.97906862399469</v>
      </c>
      <c r="C26" s="7">
        <f t="shared" si="4"/>
        <v>566.80950775488088</v>
      </c>
      <c r="D26" s="7">
        <f t="shared" si="5"/>
        <v>700</v>
      </c>
      <c r="E26" s="7">
        <f t="shared" si="6"/>
        <v>862.67435824321296</v>
      </c>
      <c r="F26" s="7">
        <f t="shared" si="7"/>
        <v>1060.9664407285454</v>
      </c>
      <c r="G26" s="7">
        <f t="shared" si="8"/>
        <v>1302.2062001966478</v>
      </c>
      <c r="H26" s="7">
        <f t="shared" si="9"/>
        <v>1595.1376481283305</v>
      </c>
      <c r="I26" s="1"/>
      <c r="J26" s="20"/>
      <c r="K26" s="6">
        <f t="shared" si="10"/>
        <v>21</v>
      </c>
      <c r="L26" s="7">
        <f>(L25+'calcolo rata mutuo'!$G$27*12)*(1+L$4)</f>
        <v>22486.77226943813</v>
      </c>
      <c r="M26" s="7">
        <f>(M25+'calcolo rata mutuo'!$G$27*12)*(1+M$4)</f>
        <v>34370</v>
      </c>
      <c r="N26" s="7">
        <f>(N25+'calcolo rata mutuo'!$G$27*12)*(1+N$4)</f>
        <v>52093.45223977157</v>
      </c>
      <c r="O26" s="7">
        <f>(O25+'calcolo rata mutuo'!$G$27*12)*(1+O$4)</f>
        <v>78321.258523101045</v>
      </c>
      <c r="P26" s="7">
        <f>(P25+'calcolo rata mutuo'!$G$27*12)*(1+P$4)</f>
        <v>116843.00095075295</v>
      </c>
      <c r="Q26" s="7">
        <f>(Q25+'calcolo rata mutuo'!$G$27*12)*(1+Q$4)</f>
        <v>173012.8647968288</v>
      </c>
      <c r="R26" s="7">
        <f>(R25+'calcolo rata mutuo'!$G$27*12)*(1+R$4)</f>
        <v>254346.59058415343</v>
      </c>
    </row>
    <row r="27" spans="1:18">
      <c r="A27" s="6">
        <f t="shared" si="2"/>
        <v>22</v>
      </c>
      <c r="B27" s="7">
        <f t="shared" si="3"/>
        <v>448.81948725151477</v>
      </c>
      <c r="C27" s="7">
        <f t="shared" si="4"/>
        <v>561.14141267733203</v>
      </c>
      <c r="D27" s="7">
        <f t="shared" si="5"/>
        <v>700</v>
      </c>
      <c r="E27" s="7">
        <f t="shared" si="6"/>
        <v>871.30110182564511</v>
      </c>
      <c r="F27" s="7">
        <f t="shared" si="7"/>
        <v>1082.1857695431163</v>
      </c>
      <c r="G27" s="7">
        <f t="shared" si="8"/>
        <v>1341.2723862025473</v>
      </c>
      <c r="H27" s="7">
        <f t="shared" si="9"/>
        <v>1658.9431540534638</v>
      </c>
      <c r="I27" s="1"/>
      <c r="J27" s="20"/>
      <c r="K27" s="6">
        <f t="shared" si="10"/>
        <v>22</v>
      </c>
      <c r="L27" s="7">
        <f>(L26+'calcolo rata mutuo'!$G$27*12)*(1+L$4)</f>
        <v>22037.036824049366</v>
      </c>
      <c r="M27" s="7">
        <f>(M26+'calcolo rata mutuo'!$G$27*12)*(1+M$4)</f>
        <v>34370</v>
      </c>
      <c r="N27" s="7">
        <f>(N26+'calcolo rata mutuo'!$G$27*12)*(1+N$4)</f>
        <v>53135.321284567006</v>
      </c>
      <c r="O27" s="7">
        <f>(O26+'calcolo rata mutuo'!$G$27*12)*(1+O$4)</f>
        <v>81454.108864025096</v>
      </c>
      <c r="P27" s="7">
        <f>(P26+'calcolo rata mutuo'!$G$27*12)*(1+P$4)</f>
        <v>123853.58100779813</v>
      </c>
      <c r="Q27" s="7">
        <f>(Q26+'calcolo rata mutuo'!$G$27*12)*(1+Q$4)</f>
        <v>186853.89398057511</v>
      </c>
      <c r="R27" s="7">
        <f>(R26+'calcolo rata mutuo'!$G$27*12)*(1+R$4)</f>
        <v>279781.24964256882</v>
      </c>
    </row>
    <row r="28" spans="1:18">
      <c r="A28" s="6">
        <f t="shared" si="2"/>
        <v>23</v>
      </c>
      <c r="B28" s="7">
        <f t="shared" si="3"/>
        <v>439.84309750648447</v>
      </c>
      <c r="C28" s="7">
        <f t="shared" si="4"/>
        <v>555.52999855055873</v>
      </c>
      <c r="D28" s="7">
        <f t="shared" si="5"/>
        <v>700</v>
      </c>
      <c r="E28" s="7">
        <f t="shared" si="6"/>
        <v>880.01411284390156</v>
      </c>
      <c r="F28" s="7">
        <f t="shared" si="7"/>
        <v>1103.8294849339786</v>
      </c>
      <c r="G28" s="7">
        <f t="shared" si="8"/>
        <v>1381.5105577886238</v>
      </c>
      <c r="H28" s="7">
        <f t="shared" si="9"/>
        <v>1725.3008802156023</v>
      </c>
      <c r="I28" s="1"/>
      <c r="J28" s="20"/>
      <c r="K28" s="6">
        <f t="shared" si="10"/>
        <v>23</v>
      </c>
      <c r="L28" s="7">
        <f>(L27+'calcolo rata mutuo'!$G$27*12)*(1+L$4)</f>
        <v>21596.296087568378</v>
      </c>
      <c r="M28" s="7">
        <f>(M27+'calcolo rata mutuo'!$G$27*12)*(1+M$4)</f>
        <v>34370</v>
      </c>
      <c r="N28" s="7">
        <f>(N27+'calcolo rata mutuo'!$G$27*12)*(1+N$4)</f>
        <v>54198.02771025835</v>
      </c>
      <c r="O28" s="7">
        <f>(O27+'calcolo rata mutuo'!$G$27*12)*(1+O$4)</f>
        <v>84712.27321858611</v>
      </c>
      <c r="P28" s="7">
        <f>(P27+'calcolo rata mutuo'!$G$27*12)*(1+P$4)</f>
        <v>131284.79586826602</v>
      </c>
      <c r="Q28" s="7">
        <f>(Q27+'calcolo rata mutuo'!$G$27*12)*(1+Q$4)</f>
        <v>201802.20549902113</v>
      </c>
      <c r="R28" s="7">
        <f>(R27+'calcolo rata mutuo'!$G$27*12)*(1+R$4)</f>
        <v>307759.3746068257</v>
      </c>
    </row>
    <row r="29" spans="1:18">
      <c r="A29" s="6">
        <f t="shared" si="2"/>
        <v>24</v>
      </c>
      <c r="B29" s="7">
        <f t="shared" si="3"/>
        <v>431.04623555635476</v>
      </c>
      <c r="C29" s="7">
        <f t="shared" si="4"/>
        <v>549.97469856505313</v>
      </c>
      <c r="D29" s="7">
        <f t="shared" si="5"/>
        <v>700</v>
      </c>
      <c r="E29" s="7">
        <f t="shared" si="6"/>
        <v>888.81425397234057</v>
      </c>
      <c r="F29" s="7">
        <f t="shared" si="7"/>
        <v>1125.9060746326581</v>
      </c>
      <c r="G29" s="7">
        <f t="shared" si="8"/>
        <v>1422.9558745222826</v>
      </c>
      <c r="H29" s="7">
        <f t="shared" si="9"/>
        <v>1794.3129154242265</v>
      </c>
      <c r="I29" s="1"/>
      <c r="J29" s="20"/>
      <c r="K29" s="6">
        <f t="shared" si="10"/>
        <v>24</v>
      </c>
      <c r="L29" s="7">
        <f>(L28+'calcolo rata mutuo'!$G$27*12)*(1+L$4)</f>
        <v>21164.37016581701</v>
      </c>
      <c r="M29" s="7">
        <f>(M28+'calcolo rata mutuo'!$G$27*12)*(1+M$4)</f>
        <v>34370</v>
      </c>
      <c r="N29" s="7">
        <f>(N28+'calcolo rata mutuo'!$G$27*12)*(1+N$4)</f>
        <v>55281.988264463514</v>
      </c>
      <c r="O29" s="7">
        <f>(O28+'calcolo rata mutuo'!$G$27*12)*(1+O$4)</f>
        <v>88100.764147329552</v>
      </c>
      <c r="P29" s="7">
        <f>(P28+'calcolo rata mutuo'!$G$27*12)*(1+P$4)</f>
        <v>139161.883620362</v>
      </c>
      <c r="Q29" s="7">
        <f>(Q28+'calcolo rata mutuo'!$G$27*12)*(1+Q$4)</f>
        <v>217946.38193894282</v>
      </c>
      <c r="R29" s="7">
        <f>(R28+'calcolo rata mutuo'!$G$27*12)*(1+R$4)</f>
        <v>338535.31206750829</v>
      </c>
    </row>
    <row r="30" spans="1:18">
      <c r="A30" s="6">
        <f t="shared" si="2"/>
        <v>25</v>
      </c>
      <c r="B30" s="7">
        <f t="shared" si="3"/>
        <v>422.42531084522767</v>
      </c>
      <c r="C30" s="7">
        <f t="shared" si="4"/>
        <v>544.47495157940261</v>
      </c>
      <c r="D30" s="7">
        <f t="shared" si="5"/>
        <v>700</v>
      </c>
      <c r="E30" s="7">
        <f t="shared" si="6"/>
        <v>897.70239651206396</v>
      </c>
      <c r="F30" s="7">
        <f t="shared" si="7"/>
        <v>1148.4241961253113</v>
      </c>
      <c r="G30" s="7">
        <f t="shared" si="8"/>
        <v>1465.644550757951</v>
      </c>
      <c r="H30" s="7">
        <f t="shared" si="9"/>
        <v>1866.0854320411956</v>
      </c>
      <c r="I30" s="1"/>
      <c r="J30" s="20"/>
      <c r="K30" s="6">
        <f t="shared" si="10"/>
        <v>25</v>
      </c>
      <c r="L30" s="7">
        <f>(L29+'calcolo rata mutuo'!$G$27*12)*(1+L$4)</f>
        <v>20741.082762500671</v>
      </c>
      <c r="M30" s="7">
        <f>(M29+'calcolo rata mutuo'!$G$27*12)*(1+M$4)</f>
        <v>34370</v>
      </c>
      <c r="N30" s="7">
        <f>(N29+'calcolo rata mutuo'!$G$27*12)*(1+N$4)</f>
        <v>56387.628029752785</v>
      </c>
      <c r="O30" s="7">
        <f>(O29+'calcolo rata mutuo'!$G$27*12)*(1+O$4)</f>
        <v>91624.794713222742</v>
      </c>
      <c r="P30" s="7">
        <f>(P29+'calcolo rata mutuo'!$G$27*12)*(1+P$4)</f>
        <v>147511.59663758372</v>
      </c>
      <c r="Q30" s="7">
        <f>(Q29+'calcolo rata mutuo'!$G$27*12)*(1+Q$4)</f>
        <v>235382.09249405828</v>
      </c>
      <c r="R30" s="7">
        <f>(R29+'calcolo rata mutuo'!$G$27*12)*(1+R$4)</f>
        <v>372388.84327425912</v>
      </c>
    </row>
    <row r="31" spans="1:18">
      <c r="A31" s="6">
        <f t="shared" si="2"/>
        <v>26</v>
      </c>
      <c r="B31" s="7">
        <f t="shared" si="3"/>
        <v>413.97680462832312</v>
      </c>
      <c r="C31" s="7">
        <f t="shared" si="4"/>
        <v>539.03020206360861</v>
      </c>
      <c r="D31" s="7">
        <f t="shared" si="5"/>
        <v>700</v>
      </c>
      <c r="E31" s="7">
        <f t="shared" si="6"/>
        <v>906.67942047718464</v>
      </c>
      <c r="F31" s="7">
        <f t="shared" si="7"/>
        <v>1171.3926800478175</v>
      </c>
      <c r="G31" s="7">
        <f t="shared" si="8"/>
        <v>1509.6138872806896</v>
      </c>
      <c r="H31" s="7">
        <f t="shared" si="9"/>
        <v>1940.7288493228436</v>
      </c>
      <c r="I31" s="1"/>
      <c r="J31" s="20"/>
      <c r="K31" s="6">
        <f t="shared" si="10"/>
        <v>26</v>
      </c>
      <c r="L31" s="7">
        <f>(L30+'calcolo rata mutuo'!$G$27*12)*(1+L$4)</f>
        <v>20326.261107250659</v>
      </c>
      <c r="M31" s="7">
        <f>(M30+'calcolo rata mutuo'!$G$27*12)*(1+M$4)</f>
        <v>34370</v>
      </c>
      <c r="N31" s="7">
        <f>(N30+'calcolo rata mutuo'!$G$27*12)*(1+N$4)</f>
        <v>57515.380590347842</v>
      </c>
      <c r="O31" s="7">
        <f>(O30+'calcolo rata mutuo'!$G$27*12)*(1+O$4)</f>
        <v>95289.78650175166</v>
      </c>
      <c r="P31" s="7">
        <f>(P30+'calcolo rata mutuo'!$G$27*12)*(1+P$4)</f>
        <v>156362.29243583875</v>
      </c>
      <c r="Q31" s="7">
        <f>(Q30+'calcolo rata mutuo'!$G$27*12)*(1+Q$4)</f>
        <v>254212.65989358295</v>
      </c>
      <c r="R31" s="7">
        <f>(R30+'calcolo rata mutuo'!$G$27*12)*(1+R$4)</f>
        <v>409627.7276016851</v>
      </c>
    </row>
    <row r="32" spans="1:18">
      <c r="A32" s="6">
        <f t="shared" si="2"/>
        <v>27</v>
      </c>
      <c r="B32" s="7">
        <f t="shared" si="3"/>
        <v>405.69726853575668</v>
      </c>
      <c r="C32" s="7">
        <f t="shared" si="4"/>
        <v>533.6399000429725</v>
      </c>
      <c r="D32" s="7">
        <f t="shared" si="5"/>
        <v>700</v>
      </c>
      <c r="E32" s="7">
        <f t="shared" si="6"/>
        <v>915.74621468195653</v>
      </c>
      <c r="F32" s="7">
        <f t="shared" si="7"/>
        <v>1194.8205336487738</v>
      </c>
      <c r="G32" s="7">
        <f t="shared" si="8"/>
        <v>1554.9023038991104</v>
      </c>
      <c r="H32" s="7">
        <f t="shared" si="9"/>
        <v>2018.3580032957575</v>
      </c>
      <c r="I32" s="1"/>
      <c r="J32" s="20"/>
      <c r="K32" s="6">
        <f t="shared" si="10"/>
        <v>27</v>
      </c>
      <c r="L32" s="7">
        <f>(L31+'calcolo rata mutuo'!$G$27*12)*(1+L$4)</f>
        <v>19919.735885105645</v>
      </c>
      <c r="M32" s="7">
        <f>(M31+'calcolo rata mutuo'!$G$27*12)*(1+M$4)</f>
        <v>34370</v>
      </c>
      <c r="N32" s="7">
        <f>(N31+'calcolo rata mutuo'!$G$27*12)*(1+N$4)</f>
        <v>58665.688202154801</v>
      </c>
      <c r="O32" s="7">
        <f>(O31+'calcolo rata mutuo'!$G$27*12)*(1+O$4)</f>
        <v>99101.377961821723</v>
      </c>
      <c r="P32" s="7">
        <f>(P31+'calcolo rata mutuo'!$G$27*12)*(1+P$4)</f>
        <v>165744.02998198909</v>
      </c>
      <c r="Q32" s="7">
        <f>(Q31+'calcolo rata mutuo'!$G$27*12)*(1+Q$4)</f>
        <v>274549.67268506961</v>
      </c>
      <c r="R32" s="7">
        <f>(R31+'calcolo rata mutuo'!$G$27*12)*(1+R$4)</f>
        <v>450590.50036185363</v>
      </c>
    </row>
    <row r="33" spans="1:18">
      <c r="A33" s="6">
        <f t="shared" si="2"/>
        <v>28</v>
      </c>
      <c r="B33" s="7">
        <f t="shared" si="3"/>
        <v>397.58332316504152</v>
      </c>
      <c r="C33" s="7">
        <f t="shared" si="4"/>
        <v>528.30350104254273</v>
      </c>
      <c r="D33" s="7">
        <f t="shared" si="5"/>
        <v>700</v>
      </c>
      <c r="E33" s="7">
        <f t="shared" si="6"/>
        <v>924.90367682877616</v>
      </c>
      <c r="F33" s="7">
        <f t="shared" si="7"/>
        <v>1218.7169443217492</v>
      </c>
      <c r="G33" s="7">
        <f t="shared" si="8"/>
        <v>1601.5493730160838</v>
      </c>
      <c r="H33" s="7">
        <f t="shared" si="9"/>
        <v>2099.0923234275879</v>
      </c>
      <c r="I33" s="1"/>
      <c r="J33" s="20"/>
      <c r="K33" s="6">
        <f t="shared" si="10"/>
        <v>28</v>
      </c>
      <c r="L33" s="7">
        <f>(L32+'calcolo rata mutuo'!$G$27*12)*(1+L$4)</f>
        <v>19521.341167403531</v>
      </c>
      <c r="M33" s="7">
        <f>(M32+'calcolo rata mutuo'!$G$27*12)*(1+M$4)</f>
        <v>34370</v>
      </c>
      <c r="N33" s="7">
        <f>(N32+'calcolo rata mutuo'!$G$27*12)*(1+N$4)</f>
        <v>59839.001966197895</v>
      </c>
      <c r="O33" s="7">
        <f>(O32+'calcolo rata mutuo'!$G$27*12)*(1+O$4)</f>
        <v>103065.43308029459</v>
      </c>
      <c r="P33" s="7">
        <f>(P32+'calcolo rata mutuo'!$G$27*12)*(1+P$4)</f>
        <v>175688.67178090845</v>
      </c>
      <c r="Q33" s="7">
        <f>(Q32+'calcolo rata mutuo'!$G$27*12)*(1+Q$4)</f>
        <v>296513.64649987518</v>
      </c>
      <c r="R33" s="7">
        <f>(R32+'calcolo rata mutuo'!$G$27*12)*(1+R$4)</f>
        <v>495649.55039803905</v>
      </c>
    </row>
    <row r="34" spans="1:18">
      <c r="A34" s="6">
        <f t="shared" si="2"/>
        <v>29</v>
      </c>
      <c r="B34" s="7">
        <f t="shared" si="3"/>
        <v>389.63165670174067</v>
      </c>
      <c r="C34" s="7">
        <f t="shared" si="4"/>
        <v>523.02046603211727</v>
      </c>
      <c r="D34" s="7">
        <f t="shared" si="5"/>
        <v>700</v>
      </c>
      <c r="E34" s="7">
        <f t="shared" si="6"/>
        <v>934.15271359706389</v>
      </c>
      <c r="F34" s="7">
        <f t="shared" si="7"/>
        <v>1243.0912832081842</v>
      </c>
      <c r="G34" s="7">
        <f t="shared" si="8"/>
        <v>1649.5958542065664</v>
      </c>
      <c r="H34" s="7">
        <f t="shared" si="9"/>
        <v>2183.0560163646915</v>
      </c>
      <c r="I34" s="1"/>
      <c r="J34" s="20"/>
      <c r="K34" s="6">
        <f t="shared" si="10"/>
        <v>29</v>
      </c>
      <c r="L34" s="7">
        <f>(L33+'calcolo rata mutuo'!$G$27*12)*(1+L$4)</f>
        <v>19130.914344055458</v>
      </c>
      <c r="M34" s="7">
        <f>(M33+'calcolo rata mutuo'!$G$27*12)*(1+M$4)</f>
        <v>34370</v>
      </c>
      <c r="N34" s="7">
        <f>(N33+'calcolo rata mutuo'!$G$27*12)*(1+N$4)</f>
        <v>61035.782005521854</v>
      </c>
      <c r="O34" s="7">
        <f>(O33+'calcolo rata mutuo'!$G$27*12)*(1+O$4)</f>
        <v>107188.05040350638</v>
      </c>
      <c r="P34" s="7">
        <f>(P33+'calcolo rata mutuo'!$G$27*12)*(1+P$4)</f>
        <v>186229.99208776298</v>
      </c>
      <c r="Q34" s="7">
        <f>(Q33+'calcolo rata mutuo'!$G$27*12)*(1+Q$4)</f>
        <v>320234.73821986519</v>
      </c>
      <c r="R34" s="7">
        <f>(R33+'calcolo rata mutuo'!$G$27*12)*(1+R$4)</f>
        <v>545214.50543784304</v>
      </c>
    </row>
    <row r="35" spans="1:18">
      <c r="A35" s="6">
        <f t="shared" ref="A35" si="11">A34+1</f>
        <v>30</v>
      </c>
      <c r="B35" s="7">
        <f t="shared" si="3"/>
        <v>381.83902356770585</v>
      </c>
      <c r="C35" s="7">
        <f t="shared" si="4"/>
        <v>517.79026137179608</v>
      </c>
      <c r="D35" s="7">
        <f t="shared" si="5"/>
        <v>700</v>
      </c>
      <c r="E35" s="7">
        <f t="shared" si="6"/>
        <v>943.49424073303453</v>
      </c>
      <c r="F35" s="7">
        <f t="shared" si="7"/>
        <v>1267.9531088723479</v>
      </c>
      <c r="G35" s="7">
        <f t="shared" si="8"/>
        <v>1699.0837298327635</v>
      </c>
      <c r="H35" s="7">
        <f t="shared" si="9"/>
        <v>2270.3782570192793</v>
      </c>
      <c r="I35" s="1"/>
      <c r="J35" s="20"/>
      <c r="K35" s="6">
        <f t="shared" ref="K35" si="12">K34+1</f>
        <v>30</v>
      </c>
      <c r="L35" s="7">
        <f>(L34+'calcolo rata mutuo'!$G$27*12)*(1+L$4)</f>
        <v>18748.29605717435</v>
      </c>
      <c r="M35" s="7">
        <f>(M34+'calcolo rata mutuo'!$G$27*12)*(1+M$4)</f>
        <v>34370</v>
      </c>
      <c r="N35" s="7">
        <f>(N34+'calcolo rata mutuo'!$G$27*12)*(1+N$4)</f>
        <v>62256.497645632291</v>
      </c>
      <c r="O35" s="7">
        <f>(O34+'calcolo rata mutuo'!$G$27*12)*(1+O$4)</f>
        <v>111475.57241964663</v>
      </c>
      <c r="P35" s="7">
        <f>(P34+'calcolo rata mutuo'!$G$27*12)*(1+P$4)</f>
        <v>197403.79161302876</v>
      </c>
      <c r="Q35" s="7">
        <f>(Q34+'calcolo rata mutuo'!$G$27*12)*(1+Q$4)</f>
        <v>345853.51727745443</v>
      </c>
      <c r="R35" s="7">
        <f>(R34+'calcolo rata mutuo'!$G$27*12)*(1+R$4)</f>
        <v>599735.95598162734</v>
      </c>
    </row>
    <row r="37" spans="1:18">
      <c r="A37" t="s">
        <v>6</v>
      </c>
      <c r="B37" s="7">
        <f ca="1">SUM(OFFSET(B5,0,0,'calcolo rata mutuo'!$B$24,1))*12</f>
        <v>190896.58585937633</v>
      </c>
      <c r="C37" s="7">
        <f ca="1">SUM(OFFSET(C5,0,0,'calcolo rata mutuo'!$B$24,1))*12</f>
        <v>218651.68635384444</v>
      </c>
      <c r="D37" s="7">
        <f ca="1">SUM(OFFSET(D5,0,0,'calcolo rata mutuo'!$B$24,1))*12</f>
        <v>252000</v>
      </c>
      <c r="E37" s="7">
        <f ca="1">SUM(OFFSET(E5,0,0,'calcolo rata mutuo'!$B$24,1))*12</f>
        <v>292193.0888796408</v>
      </c>
      <c r="F37" s="7">
        <f ca="1">SUM(OFFSET(F5,0,0,'calcolo rata mutuo'!$B$24,1))*12</f>
        <v>340771.86532340868</v>
      </c>
      <c r="G37" s="7">
        <f ca="1">SUM(OFFSET(G5,0,0,'calcolo rata mutuo'!$B$24,1))*12</f>
        <v>399633.49193310505</v>
      </c>
      <c r="H37" s="7">
        <f ca="1">SUM(OFFSET(H5,0,0,'calcolo rata mutuo'!$B$24,1))*12</f>
        <v>471113.4771057833</v>
      </c>
      <c r="I37" s="1"/>
      <c r="J37" s="20"/>
      <c r="K37" s="1"/>
    </row>
    <row r="38" spans="1:18">
      <c r="A38" t="s">
        <v>39</v>
      </c>
      <c r="B38" s="7">
        <f>VLOOKUP('calcolo rata mutuo'!$B$24,$A$4:$H$35,1+B3,)</f>
        <v>381.83902356770585</v>
      </c>
      <c r="C38" s="7">
        <f>VLOOKUP('calcolo rata mutuo'!$B$24,$A$4:$H$35,1+C3,)</f>
        <v>517.79026137179608</v>
      </c>
      <c r="D38" s="7">
        <f>VLOOKUP('calcolo rata mutuo'!$B$24,$A$4:$H$35,1+D3,)</f>
        <v>700</v>
      </c>
      <c r="E38" s="7">
        <f>VLOOKUP('calcolo rata mutuo'!$B$24,$A$4:$H$35,1+E3,)</f>
        <v>943.49424073303453</v>
      </c>
      <c r="F38" s="7">
        <f>VLOOKUP('calcolo rata mutuo'!$B$24,$A$4:$H$35,1+F3,)</f>
        <v>1267.9531088723479</v>
      </c>
      <c r="G38" s="7">
        <f>VLOOKUP('calcolo rata mutuo'!$B$24,$A$4:$H$35,1+G3,)</f>
        <v>1699.0837298327635</v>
      </c>
      <c r="H38" s="7">
        <f>VLOOKUP('calcolo rata mutuo'!$B$24,$A$4:$H$35,1+H3,)</f>
        <v>2270.3782570192793</v>
      </c>
      <c r="K38" t="s">
        <v>39</v>
      </c>
      <c r="L38" s="7">
        <f>VLOOKUP('calcolo rata mutuo'!$B$24,$K$4:$R$35,1+L3,)</f>
        <v>18748.29605717435</v>
      </c>
      <c r="M38" s="7">
        <f>VLOOKUP('calcolo rata mutuo'!$B$24,$K$4:$R$35,1+M3,)</f>
        <v>34370</v>
      </c>
      <c r="N38" s="7">
        <f>VLOOKUP('calcolo rata mutuo'!$B$24,$K$4:$R$35,1+N3,)</f>
        <v>62256.497645632291</v>
      </c>
      <c r="O38" s="7">
        <f>VLOOKUP('calcolo rata mutuo'!$B$24,$K$4:$R$35,1+O3,)</f>
        <v>111475.57241964663</v>
      </c>
      <c r="P38" s="7">
        <f>VLOOKUP('calcolo rata mutuo'!$B$24,$K$4:$R$35,1+P3,)</f>
        <v>197403.79161302876</v>
      </c>
      <c r="Q38" s="7">
        <f>VLOOKUP('calcolo rata mutuo'!$B$24,$K$4:$R$35,1+Q3,)</f>
        <v>345853.51727745443</v>
      </c>
      <c r="R38" s="7">
        <f>VLOOKUP('calcolo rata mutuo'!$B$24,$K$4:$R$35,1+R3,)</f>
        <v>599735.95598162734</v>
      </c>
    </row>
    <row r="40" spans="1:18">
      <c r="B4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 rata mutuo</vt:lpstr>
      <vt:lpstr>calcoli_max_30y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Grafica</dc:creator>
  <cp:lastModifiedBy>Hp</cp:lastModifiedBy>
  <dcterms:created xsi:type="dcterms:W3CDTF">2023-07-03T14:15:49Z</dcterms:created>
  <dcterms:modified xsi:type="dcterms:W3CDTF">2025-12-27T07:54:01Z</dcterms:modified>
</cp:coreProperties>
</file>